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0\11 Noviembre\"/>
    </mc:Choice>
  </mc:AlternateContent>
  <bookViews>
    <workbookView xWindow="0" yWindow="0" windowWidth="20490" windowHeight="7755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I57" i="1" l="1"/>
  <c r="F57" i="1"/>
  <c r="H57" i="1" l="1"/>
  <c r="E57" i="1"/>
  <c r="G15" i="1"/>
  <c r="F58" i="6" l="1"/>
  <c r="F29" i="1" l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 s="1"/>
  <c r="G28" i="2"/>
  <c r="D28" i="2" l="1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56" i="2" s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S24" i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<sst xmlns="http://schemas.openxmlformats.org/spreadsheetml/2006/main" count="308" uniqueCount="132">
  <si>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</si>
  <si>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</si>
  <si>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</si>
  <si>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</si>
  <si>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</si>
  <si>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</si>
  <si>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</si>
  <si>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</si>
  <si>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</si>
  <si>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</si>
  <si>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</si>
  <si>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</si>
  <si>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</si>
  <si>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</si>
  <si>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</si>
  <si>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</si>
  <si>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</si>
  <si>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</si>
  <si>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</si>
  <si>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</si>
  <si>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</si>
  <si>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</si>
  <si>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</si>
  <si>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</si>
  <si>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</si>
  <si>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</si>
  <si>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</si>
  <si>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</si>
  <si>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</si>
  <si>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</si>
  <si>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</si>
  <si>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</si>
  <si>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</si>
  <si>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</si>
  <si>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</si>
  <si>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</si>
  <si>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</si>
  <si>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</si>
  <si>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</si>
  <si>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</si>
  <si>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</si>
  <si>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</si>
  <si>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</si>
  <si>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</si>
  <si>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</si>
  <si>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</si>
  <si>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</si>
  <si>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</si>
  <si>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</si>
  <si>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</si>
  <si>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</si>
  <si>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</si>
  <si>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</si>
  <si>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</si>
  <si>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</si>
  <si>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</si>
  <si>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</si>
  <si>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</si>
  <si>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</si>
  <si>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</si>
  <si>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</si>
  <si>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</si>
  <si>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</si>
  <si>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</si>
  <si>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</si>
  <si>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</si>
  <si>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</si>
  <si>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</si>
  <si>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</si>
  <si>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</si>
  <si>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</si>
  <si>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</si>
  <si>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</si>
  <si>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</si>
  <si>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</si>
  <si>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</si>
  <si>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</si>
  <si>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</si>
  <si>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</si>
  <si>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</si>
  <si>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</si>
  <si>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</si>
  <si>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</si>
  <si>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</si>
  <si>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</si>
  <si>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</si>
  <si>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</si>
  <si>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</si>
  <si>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</si>
  <si>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</si>
  <si>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</si>
  <si>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</si>
  <si>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</si>
  <si>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</si>
  <si>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</si>
  <si>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</si>
  <si>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</si>
  <si>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</si>
  <si>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</si>
  <si>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</si>
  <si>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</si>
  <si>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</si>
  <si>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</si>
  <si>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</si>
  <si>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</si>
  <si>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</si>
  <si>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</si>
  <si>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</si>
  <si>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</si>
  <si>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</si>
  <si>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</si>
  <si>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</si>
  <si>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</si>
  <si>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</si>
  <si>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</si>
  <si>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Cuadro N° 2 : Producción de energía eléctrica nacional según sistema y mercado 2020 vs 2019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</si>
  <si>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</si>
  <si>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</si>
  <si>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</si>
  <si>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</si>
  <si>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</si>
  <si>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Cuadro N° 4 : Producción de energía eléctrica nacional según destino y recurso 2020 vs 2019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</si>
  <si>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</si>
  <si>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</si>
  <si>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(1): Incluye información de Recursos Renovables No Convencionales de Aislados</t>
  </si>
  <si>
    <t>1. RESUMEN NACIONAL AL MES DE OCTUBRE 2020</t>
  </si>
  <si>
    <t>Octubre</t>
  </si>
  <si>
    <t>Enero - Octubre</t>
  </si>
  <si>
    <t>Grafico N° 11: Generación de energía eléctrica por Región, al mes de octubre 2020</t>
  </si>
  <si>
    <t>Cuadro N° 8: Producción de energía eléctrica nacional por zona del país, al mes de octubre</t>
  </si>
  <si>
    <t>3.2 Producción de energía eléctrica (GWh) por origen y zona al mes de octubre 2020</t>
  </si>
  <si>
    <t>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</si>
</sst>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2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26" xfId="0" applyNumberFormat="1" applyFont="1" applyBorder="1"/>
    <xf numFmtId="3" fontId="99" fillId="0" borderId="73" xfId="0" applyNumberFormat="1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4" fontId="0" fillId="68" borderId="79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178" fontId="96" fillId="68" borderId="30" xfId="33743" applyNumberFormat="1" applyFont="1" applyFill="1" applyBorder="1" applyAlignment="1">
      <alignment horizontal="center"/>
    </xf>
    <xf numFmtId="43" fontId="0" fillId="0" borderId="0" xfId="0" applyNumberFormat="1"/>
    <xf numFmtId="3" fontId="0" fillId="68" borderId="26" xfId="0" applyNumberFormat="1" applyFill="1" applyBorder="1" applyAlignment="1">
      <alignment vertical="center"/>
    </xf>
    <xf numFmtId="3" fontId="0" fillId="68" borderId="5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0" fillId="68" borderId="110" xfId="0" applyNumberFormat="1" applyFill="1" applyBorder="1"/>
    <xf numFmtId="3" fontId="0" fillId="68" borderId="119" xfId="0" applyNumberFormat="1" applyFill="1" applyBorder="1"/>
    <xf numFmtId="9" fontId="96" fillId="68" borderId="53" xfId="33743" applyNumberFormat="1" applyFont="1" applyFill="1" applyBorder="1" applyAlignment="1">
      <alignment horizontal="center" vertical="center"/>
    </xf>
    <xf numFmtId="9" fontId="96" fillId="68" borderId="21" xfId="33743" applyNumberFormat="1" applyFont="1" applyFill="1" applyBorder="1" applyAlignment="1">
      <alignment horizontal="center" vertical="center"/>
    </xf>
    <xf numFmtId="9" fontId="98" fillId="68" borderId="23" xfId="33743" applyNumberFormat="1" applyFont="1" applyFill="1" applyBorder="1"/>
    <xf numFmtId="9" fontId="98" fillId="68" borderId="30" xfId="33743" applyNumberFormat="1" applyFont="1" applyFill="1" applyBorder="1"/>
    <xf numFmtId="9" fontId="98" fillId="68" borderId="24" xfId="33743" applyNumberFormat="1" applyFont="1" applyFill="1" applyBorder="1"/>
    <xf numFmtId="9" fontId="98" fillId="0" borderId="16" xfId="33743" applyFont="1" applyBorder="1"/>
    <xf numFmtId="9" fontId="98" fillId="0" borderId="68" xfId="33743" applyFont="1" applyBorder="1"/>
    <xf numFmtId="9" fontId="98" fillId="0" borderId="68" xfId="33743" applyNumberFormat="1" applyFont="1" applyBorder="1"/>
    <xf numFmtId="9" fontId="98" fillId="0" borderId="69" xfId="33743" applyFont="1" applyBorder="1"/>
    <xf numFmtId="167" fontId="0" fillId="68" borderId="27" xfId="0" applyNumberFormat="1" applyFill="1" applyBorder="1"/>
    <xf numFmtId="167" fontId="0" fillId="68" borderId="58" xfId="0" applyNumberFormat="1" applyFill="1" applyBorder="1"/>
    <xf numFmtId="167" fontId="0" fillId="68" borderId="55" xfId="0" applyNumberFormat="1" applyFill="1" applyBorder="1"/>
    <xf numFmtId="167" fontId="0" fillId="68" borderId="28" xfId="0" applyNumberFormat="1" applyFill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180" fontId="0" fillId="68" borderId="40" xfId="33744" applyNumberFormat="1" applyFont="1" applyFill="1" applyBorder="1"/>
    <xf numFmtId="167" fontId="0" fillId="68" borderId="56" xfId="0" applyNumberFormat="1" applyFill="1" applyBorder="1"/>
    <xf numFmtId="178" fontId="96" fillId="68" borderId="98" xfId="33743" applyNumberFormat="1" applyFont="1" applyFill="1" applyBorder="1" applyAlignment="1">
      <alignment horizontal="center"/>
    </xf>
    <xf numFmtId="167" fontId="0" fillId="68" borderId="108" xfId="0" applyNumberFormat="1" applyFill="1" applyBorder="1"/>
    <xf numFmtId="167" fontId="0" fillId="68" borderId="119" xfId="0" applyNumberFormat="1" applyFill="1" applyBorder="1"/>
    <xf numFmtId="43" fontId="0" fillId="68" borderId="114" xfId="33744" applyNumberFormat="1" applyFont="1" applyFill="1" applyBorder="1"/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Octubre 2020</a:t>
            </a:r>
          </a:p>
          <a:p>
            <a:pPr>
              <a:defRPr sz="800" b="1"/>
            </a:pPr>
            <a:r>
              <a:rPr lang="es-PE" sz="800" b="1"/>
              <a:t>Total : 4 745 GWh</a:t>
            </a:r>
          </a:p>
        </c:rich>
      </c:tx>
      <c:layout>
        <c:manualLayout>
          <c:xMode val="edge"/>
          <c:yMode val="edge"/>
          <c:x val="0.15346189164370982"/>
          <c:y val="3.5721853336008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38.644154982860464</c:v>
                </c:pt>
                <c:pt idx="1">
                  <c:v>122.37315744572479</c:v>
                </c:pt>
                <c:pt idx="2">
                  <c:v>2092.3340668188821</c:v>
                </c:pt>
                <c:pt idx="3">
                  <c:v>2243.0118725484958</c:v>
                </c:pt>
                <c:pt idx="4">
                  <c:v>248.51113831999982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1737.4561183146068</c:v>
                </c:pt>
                <c:pt idx="2" formatCode="_(* #,##0.00_);_(* \(#,##0.00\);_(* &quot;-&quot;??_);_(@_)">
                  <c:v>6.4619999999999999E-3</c:v>
                </c:pt>
                <c:pt idx="3">
                  <c:v>2121.1656083645039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77.128815547500025</c:v>
                </c:pt>
                <c:pt idx="1">
                  <c:v>324.76526259802779</c:v>
                </c:pt>
                <c:pt idx="2">
                  <c:v>76.332032089999998</c:v>
                </c:pt>
                <c:pt idx="3">
                  <c:v>64.339326662260078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33.73819225312085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3858.6281886791107</c:v>
                </c:pt>
                <c:pt idx="1">
                  <c:v>542.56543689778789</c:v>
                </c:pt>
                <c:pt idx="2">
                  <c:v>309.94257228594023</c:v>
                </c:pt>
                <c:pt idx="3">
                  <c:v>33.73819225312085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7608704"/>
        <c:axId val="477609096"/>
      </c:barChart>
      <c:catAx>
        <c:axId val="4776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77609096"/>
        <c:crosses val="autoZero"/>
        <c:auto val="1"/>
        <c:lblAlgn val="ctr"/>
        <c:lblOffset val="100"/>
        <c:noMultiLvlLbl val="0"/>
      </c:catAx>
      <c:valAx>
        <c:axId val="47760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7760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LA LIBERTAD</c:v>
                </c:pt>
                <c:pt idx="7">
                  <c:v>ANCASH</c:v>
                </c:pt>
                <c:pt idx="8">
                  <c:v>ICA</c:v>
                </c:pt>
                <c:pt idx="9">
                  <c:v>AREQUIPA</c:v>
                </c:pt>
                <c:pt idx="10">
                  <c:v>HUANUCO</c:v>
                </c:pt>
                <c:pt idx="11">
                  <c:v>MOQUEGUA</c:v>
                </c:pt>
                <c:pt idx="12">
                  <c:v>PUNO</c:v>
                </c:pt>
                <c:pt idx="13">
                  <c:v>PASCO</c:v>
                </c:pt>
                <c:pt idx="14">
                  <c:v>CAJAMARCA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2290.1744845948956</c:v>
                </c:pt>
                <c:pt idx="1">
                  <c:v>800.04304129314539</c:v>
                </c:pt>
                <c:pt idx="2">
                  <c:v>297.72955998781083</c:v>
                </c:pt>
                <c:pt idx="3">
                  <c:v>185.31515673666664</c:v>
                </c:pt>
                <c:pt idx="4">
                  <c:v>160.18374027033335</c:v>
                </c:pt>
                <c:pt idx="5">
                  <c:v>135.30998759671894</c:v>
                </c:pt>
                <c:pt idx="6">
                  <c:v>118.71908132179705</c:v>
                </c:pt>
                <c:pt idx="7">
                  <c:v>117.98490664059263</c:v>
                </c:pt>
                <c:pt idx="8">
                  <c:v>107.38434406916669</c:v>
                </c:pt>
                <c:pt idx="9">
                  <c:v>103.47125354897686</c:v>
                </c:pt>
                <c:pt idx="10">
                  <c:v>97.879807732666691</c:v>
                </c:pt>
                <c:pt idx="11">
                  <c:v>83.734102087500005</c:v>
                </c:pt>
                <c:pt idx="12">
                  <c:v>69.237376784999995</c:v>
                </c:pt>
                <c:pt idx="13">
                  <c:v>55.35472941999997</c:v>
                </c:pt>
                <c:pt idx="14">
                  <c:v>42.873175686614061</c:v>
                </c:pt>
                <c:pt idx="15">
                  <c:v>33.73819225312085</c:v>
                </c:pt>
                <c:pt idx="16">
                  <c:v>14.146502273333333</c:v>
                </c:pt>
                <c:pt idx="17">
                  <c:v>13.929088597500002</c:v>
                </c:pt>
                <c:pt idx="18">
                  <c:v>6.1588983697699611</c:v>
                </c:pt>
                <c:pt idx="19">
                  <c:v>3.1846733110401919</c:v>
                </c:pt>
                <c:pt idx="20">
                  <c:v>3.1553934996763022</c:v>
                </c:pt>
                <c:pt idx="21">
                  <c:v>2.5962080000000003</c:v>
                </c:pt>
                <c:pt idx="22">
                  <c:v>1.1005480000000003</c:v>
                </c:pt>
                <c:pt idx="23">
                  <c:v>0.96541776213465991</c:v>
                </c:pt>
                <c:pt idx="24">
                  <c:v>0.50472027750000004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07460360"/>
        <c:axId val="507460752"/>
      </c:barChart>
      <c:catAx>
        <c:axId val="50746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7460752"/>
        <c:crosses val="autoZero"/>
        <c:auto val="1"/>
        <c:lblAlgn val="ctr"/>
        <c:lblOffset val="100"/>
        <c:noMultiLvlLbl val="0"/>
      </c:catAx>
      <c:valAx>
        <c:axId val="507460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74603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72817887096451E-3"/>
                  <c:y val="1.217656012176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2218.7564108641654</c:v>
                </c:pt>
                <c:pt idx="1">
                  <c:v>2350.1000328966597</c:v>
                </c:pt>
                <c:pt idx="2">
                  <c:v>162.89284799999999</c:v>
                </c:pt>
                <c:pt idx="3">
                  <c:v>77.096253000000019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2130.9782218017426</c:v>
                </c:pt>
                <c:pt idx="1">
                  <c:v>2365.3850299942205</c:v>
                </c:pt>
                <c:pt idx="2">
                  <c:v>172.1726442299998</c:v>
                </c:pt>
                <c:pt idx="3">
                  <c:v>76.338494089999998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8132376"/>
        <c:axId val="818132768"/>
      </c:barChart>
      <c:catAx>
        <c:axId val="818132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18132768"/>
        <c:crosses val="autoZero"/>
        <c:auto val="1"/>
        <c:lblAlgn val="ctr"/>
        <c:lblOffset val="100"/>
        <c:noMultiLvlLbl val="0"/>
      </c:catAx>
      <c:valAx>
        <c:axId val="8181327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1813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212.27728135266301</c:v>
                </c:pt>
                <c:pt idx="1">
                  <c:v>164.70168383284749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4596.5682634081604</c:v>
                </c:pt>
                <c:pt idx="1">
                  <c:v>4580.1727062831151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8131592"/>
        <c:axId val="1070564112"/>
        <c:axId val="503204512"/>
      </c:bar3DChart>
      <c:catAx>
        <c:axId val="81813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0564112"/>
        <c:crosses val="autoZero"/>
        <c:auto val="1"/>
        <c:lblAlgn val="ctr"/>
        <c:lblOffset val="100"/>
        <c:noMultiLvlLbl val="0"/>
      </c:catAx>
      <c:valAx>
        <c:axId val="107056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18131592"/>
        <c:crosses val="autoZero"/>
        <c:crossBetween val="between"/>
      </c:valAx>
      <c:serAx>
        <c:axId val="503204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056411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2083.6959813291655</c:v>
                </c:pt>
                <c:pt idx="1">
                  <c:v>2004.3583273192426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2300.8722308666597</c:v>
                </c:pt>
                <c:pt idx="1">
                  <c:v>2318.4299162259035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135.06042953499997</c:v>
                </c:pt>
                <c:pt idx="1">
                  <c:v>126.61989448249994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289.21690302999997</c:v>
                </c:pt>
                <c:pt idx="1">
                  <c:v>295.46625208831682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0561760"/>
        <c:axId val="1070562152"/>
        <c:axId val="0"/>
      </c:bar3DChart>
      <c:catAx>
        <c:axId val="10705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0562152"/>
        <c:crosses val="autoZero"/>
        <c:auto val="1"/>
        <c:lblAlgn val="ctr"/>
        <c:lblOffset val="100"/>
        <c:noMultiLvlLbl val="0"/>
      </c:catAx>
      <c:valAx>
        <c:axId val="107056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056176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2130.9782218017426</c:v>
                </c:pt>
                <c:pt idx="1">
                  <c:v>2221.4821406083902</c:v>
                </c:pt>
                <c:pt idx="2">
                  <c:v>96.729272812577619</c:v>
                </c:pt>
                <c:pt idx="3">
                  <c:v>46.955113768317005</c:v>
                </c:pt>
                <c:pt idx="4">
                  <c:v>172.1726442299998</c:v>
                </c:pt>
                <c:pt idx="5">
                  <c:v>76.338494089999998</c:v>
                </c:pt>
                <c:pt idx="6" formatCode="#,##0.0">
                  <c:v>0.21850280493495899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70563328"/>
        <c:axId val="1070563720"/>
      </c:barChart>
      <c:catAx>
        <c:axId val="10705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0563720"/>
        <c:crosses val="autoZero"/>
        <c:auto val="1"/>
        <c:lblAlgn val="ctr"/>
        <c:lblOffset val="100"/>
        <c:noMultiLvlLbl val="0"/>
      </c:catAx>
      <c:valAx>
        <c:axId val="107056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056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4519.6286417308229</c:v>
                </c:pt>
                <c:pt idx="1">
                  <c:v>4449.4081380276457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994604662395302E-2"/>
                  <c:y val="-1.77178400475521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289.21690302999997</c:v>
                </c:pt>
                <c:pt idx="1">
                  <c:v>295.46625208831682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98044456"/>
        <c:axId val="598041712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698249516567E-2"/>
                  <c:y val="3.894678533114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164834543561929E-2"/>
                  <c:y val="5.200833061311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6.0142689204293151E-2</c:v>
                </c:pt>
                <c:pt idx="1">
                  <c:v>6.2270616205099535E-2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044064"/>
        <c:axId val="598042496"/>
      </c:lineChart>
      <c:catAx>
        <c:axId val="59804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8041712"/>
        <c:crosses val="autoZero"/>
        <c:auto val="1"/>
        <c:lblAlgn val="ctr"/>
        <c:lblOffset val="100"/>
        <c:noMultiLvlLbl val="1"/>
      </c:catAx>
      <c:valAx>
        <c:axId val="598041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8044456"/>
        <c:crosses val="autoZero"/>
        <c:crossBetween val="between"/>
        <c:majorUnit val="1000"/>
      </c:valAx>
      <c:valAx>
        <c:axId val="598042496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8044064"/>
        <c:crosses val="max"/>
        <c:crossBetween val="between"/>
      </c:valAx>
      <c:catAx>
        <c:axId val="59804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598042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937813558810065"/>
                  <c:y val="0.25501150025029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2218.7564108641654</c:v>
                </c:pt>
                <c:pt idx="1">
                  <c:v>2180.5443619999996</c:v>
                </c:pt>
                <c:pt idx="2">
                  <c:v>119.96083872265808</c:v>
                </c:pt>
                <c:pt idx="3" formatCode="#,##0.00">
                  <c:v>0.367030144</c:v>
                </c:pt>
                <c:pt idx="4">
                  <c:v>49.227802029999964</c:v>
                </c:pt>
                <c:pt idx="5">
                  <c:v>162.89284799999999</c:v>
                </c:pt>
                <c:pt idx="6">
                  <c:v>77.096253000000019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2130.9782218017426</c:v>
                </c:pt>
                <c:pt idx="1">
                  <c:v>2221.4821406083902</c:v>
                </c:pt>
                <c:pt idx="2">
                  <c:v>96.729272812577619</c:v>
                </c:pt>
                <c:pt idx="3" formatCode="#,##0.00">
                  <c:v>0.21850280493495899</c:v>
                </c:pt>
                <c:pt idx="4">
                  <c:v>46.955113768317005</c:v>
                </c:pt>
                <c:pt idx="5">
                  <c:v>172.1726442299998</c:v>
                </c:pt>
                <c:pt idx="6">
                  <c:v>76.338494089999998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95.043828682499779</c:v>
                </c:pt>
                <c:pt idx="1">
                  <c:v>68.756840889108119</c:v>
                </c:pt>
                <c:pt idx="2">
                  <c:v>0</c:v>
                </c:pt>
                <c:pt idx="3">
                  <c:v>146.14190271433233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octubre 2020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015506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330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6555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557894" y="3305175"/>
          <a:ext cx="4003922" cy="554490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Normal="120" zoomScaleSheetLayoutView="100" workbookViewId="0">
      <selection activeCell="C1" sqref="C1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6.425781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6" t="s">
        <v>64</v>
      </c>
      <c r="R11" s="144" t="s">
        <v>41</v>
      </c>
      <c r="S11" s="145">
        <f>E12</f>
        <v>38.644154982860464</v>
      </c>
    </row>
    <row r="12" spans="2:19" s="1" customFormat="1">
      <c r="B12" s="8"/>
      <c r="C12" s="135" t="s">
        <v>66</v>
      </c>
      <c r="D12" s="136">
        <v>2092.3340668188821</v>
      </c>
      <c r="E12" s="137">
        <v>38.644154982860464</v>
      </c>
      <c r="F12" s="138">
        <f>SUM(D12:E12)</f>
        <v>2130.9782218017426</v>
      </c>
      <c r="G12" s="369">
        <f>(F12/F$16)</f>
        <v>0.44911161952796447</v>
      </c>
      <c r="H12" s="9"/>
      <c r="I12" s="9"/>
      <c r="J12" s="9"/>
      <c r="K12" s="9"/>
      <c r="Q12" s="386"/>
      <c r="R12" s="144" t="s">
        <v>73</v>
      </c>
      <c r="S12" s="145">
        <f>E13</f>
        <v>122.37315744572479</v>
      </c>
    </row>
    <row r="13" spans="2:19" s="1" customFormat="1">
      <c r="B13" s="8"/>
      <c r="C13" s="135" t="s">
        <v>65</v>
      </c>
      <c r="D13" s="136">
        <v>2243.0118725484958</v>
      </c>
      <c r="E13" s="137">
        <v>122.37315744572479</v>
      </c>
      <c r="F13" s="138">
        <f>SUM(D13:E13)</f>
        <v>2365.3850299942205</v>
      </c>
      <c r="G13" s="369">
        <f>(F13/F$16)</f>
        <v>0.49851372987271253</v>
      </c>
      <c r="H13" s="9"/>
      <c r="I13" s="9"/>
      <c r="J13" s="9"/>
      <c r="K13" s="9"/>
      <c r="Q13" s="386" t="s">
        <v>88</v>
      </c>
      <c r="R13" s="144" t="s">
        <v>41</v>
      </c>
      <c r="S13" s="145">
        <f>D12</f>
        <v>2092.3340668188821</v>
      </c>
    </row>
    <row r="14" spans="2:19" s="1" customFormat="1">
      <c r="B14" s="8"/>
      <c r="C14" s="135" t="s">
        <v>67</v>
      </c>
      <c r="D14" s="136">
        <v>172.1726442299998</v>
      </c>
      <c r="E14" s="139"/>
      <c r="F14" s="138">
        <f>SUM(D14:E14)</f>
        <v>172.1726442299998</v>
      </c>
      <c r="G14" s="369">
        <f>(F14/F$16)</f>
        <v>3.6286027842729045E-2</v>
      </c>
      <c r="H14" s="9"/>
      <c r="I14" s="9"/>
      <c r="J14" s="9"/>
      <c r="K14" s="9"/>
      <c r="Q14" s="386"/>
      <c r="R14" s="144" t="s">
        <v>73</v>
      </c>
      <c r="S14" s="145">
        <f>D13</f>
        <v>2243.0118725484958</v>
      </c>
    </row>
    <row r="15" spans="2:19" s="1" customFormat="1" ht="13.5" thickBot="1">
      <c r="B15" s="8"/>
      <c r="C15" s="140" t="s">
        <v>5</v>
      </c>
      <c r="D15" s="141">
        <v>76.338494089999998</v>
      </c>
      <c r="E15" s="142"/>
      <c r="F15" s="143">
        <f>SUM(D15:E15)</f>
        <v>76.338494089999998</v>
      </c>
      <c r="G15" s="370">
        <f>(F15/F$16)-0.0010886237565941</f>
        <v>1.4999998999999951E-2</v>
      </c>
      <c r="H15" s="9"/>
      <c r="I15" s="9"/>
      <c r="J15" s="9"/>
      <c r="K15" s="9"/>
      <c r="Q15" s="386"/>
      <c r="R15" s="144" t="s">
        <v>87</v>
      </c>
      <c r="S15" s="145">
        <f>SUM(D14:D15)</f>
        <v>248.51113831999982</v>
      </c>
    </row>
    <row r="16" spans="2:19" s="1" customFormat="1" ht="13.5" thickTop="1">
      <c r="B16" s="8"/>
      <c r="C16" s="238" t="s">
        <v>71</v>
      </c>
      <c r="D16" s="239">
        <f>SUM(D12:D15)</f>
        <v>4583.8570776873776</v>
      </c>
      <c r="E16" s="240">
        <f>SUM(E12:E15)</f>
        <v>161.01731242858526</v>
      </c>
      <c r="F16" s="241">
        <f>SUM(F12:F15)</f>
        <v>4744.8743901159623</v>
      </c>
      <c r="G16" s="242"/>
      <c r="H16" s="9"/>
      <c r="I16" s="9"/>
      <c r="J16" s="9"/>
      <c r="K16" s="9"/>
    </row>
    <row r="17" spans="2:19" s="1" customFormat="1">
      <c r="B17" s="8"/>
      <c r="C17" s="243" t="s">
        <v>107</v>
      </c>
      <c r="D17" s="307">
        <f>D16/F16</f>
        <v>0.96606500000000006</v>
      </c>
      <c r="E17" s="308">
        <f>E16/F16</f>
        <v>3.3935000000000014E-2</v>
      </c>
      <c r="F17" s="244"/>
      <c r="G17" s="245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115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93" t="s">
        <v>110</v>
      </c>
      <c r="D23" s="394"/>
      <c r="E23" s="387" t="s">
        <v>126</v>
      </c>
      <c r="F23" s="388"/>
      <c r="G23" s="149" t="s">
        <v>74</v>
      </c>
      <c r="H23" s="391" t="s">
        <v>127</v>
      </c>
      <c r="I23" s="392"/>
      <c r="J23" s="149" t="s">
        <v>74</v>
      </c>
      <c r="K23" s="9"/>
      <c r="Q23" s="144"/>
      <c r="R23" s="144">
        <v>2019</v>
      </c>
      <c r="S23" s="144">
        <v>2020</v>
      </c>
    </row>
    <row r="24" spans="2:19" s="1" customFormat="1" ht="12.75" customHeight="1">
      <c r="B24" s="8"/>
      <c r="C24" s="150"/>
      <c r="D24" s="151"/>
      <c r="E24" s="152">
        <v>2019</v>
      </c>
      <c r="F24" s="338">
        <v>2020</v>
      </c>
      <c r="G24" s="153"/>
      <c r="H24" s="226">
        <v>2019</v>
      </c>
      <c r="I24" s="338">
        <v>2020</v>
      </c>
      <c r="J24" s="153"/>
      <c r="K24" s="9"/>
      <c r="Q24" s="144" t="s">
        <v>76</v>
      </c>
      <c r="R24" s="145">
        <f>E29</f>
        <v>212.27728135266301</v>
      </c>
      <c r="S24" s="145">
        <f>F29</f>
        <v>164.70168383284749</v>
      </c>
    </row>
    <row r="25" spans="2:19" s="1" customFormat="1">
      <c r="B25" s="8"/>
      <c r="C25" s="382" t="s">
        <v>0</v>
      </c>
      <c r="D25" s="383"/>
      <c r="E25" s="188">
        <f>SUM(E26:E28)</f>
        <v>4596.5682634081604</v>
      </c>
      <c r="F25" s="339">
        <f>SUM(F26:F28)</f>
        <v>4580.1727062831151</v>
      </c>
      <c r="G25" s="189">
        <f>((F25/E25)-1)</f>
        <v>-3.5669125716167871E-3</v>
      </c>
      <c r="H25" s="227">
        <f>SUM(H26:H28)</f>
        <v>45208.444405887036</v>
      </c>
      <c r="I25" s="339">
        <f>SUM(I26:I28)</f>
        <v>41404.715545616797</v>
      </c>
      <c r="J25" s="189">
        <f>((I25/H25)-1)</f>
        <v>-8.4137574523022507E-2</v>
      </c>
      <c r="K25" s="9"/>
      <c r="Q25" s="144" t="s">
        <v>0</v>
      </c>
      <c r="R25" s="145">
        <f>E25</f>
        <v>4596.5682634081604</v>
      </c>
      <c r="S25" s="145">
        <f>F25</f>
        <v>4580.1727062831151</v>
      </c>
    </row>
    <row r="26" spans="2:19" s="1" customFormat="1">
      <c r="B26" s="8"/>
      <c r="C26" s="259" t="s">
        <v>62</v>
      </c>
      <c r="D26" s="267" t="s">
        <v>102</v>
      </c>
      <c r="E26" s="155">
        <v>4483.3631874374987</v>
      </c>
      <c r="F26" s="340">
        <v>4464.676793667506</v>
      </c>
      <c r="G26" s="349">
        <f t="shared" ref="G26:G32" si="0">((F26/E26)-1)</f>
        <v>-4.1679411166939406E-3</v>
      </c>
      <c r="H26" s="228">
        <v>43913.222744114988</v>
      </c>
      <c r="I26" s="340">
        <v>40218.015342915016</v>
      </c>
      <c r="J26" s="156">
        <f t="shared" ref="J26:J32" si="1">((I26/H26)-1)</f>
        <v>-8.4147943837603711E-2</v>
      </c>
      <c r="K26" s="9"/>
    </row>
    <row r="27" spans="2:19" s="1" customFormat="1">
      <c r="B27" s="8"/>
      <c r="C27" s="260" t="s">
        <v>104</v>
      </c>
      <c r="D27" s="268" t="s">
        <v>77</v>
      </c>
      <c r="E27" s="262">
        <v>75.629394955078126</v>
      </c>
      <c r="F27" s="341">
        <v>75.965092431939865</v>
      </c>
      <c r="G27" s="373">
        <f t="shared" si="0"/>
        <v>4.4387169441344465E-3</v>
      </c>
      <c r="H27" s="263">
        <v>861.24794387574377</v>
      </c>
      <c r="I27" s="341">
        <v>805.55975720047434</v>
      </c>
      <c r="J27" s="271">
        <f t="shared" si="1"/>
        <v>-6.465987764761949E-2</v>
      </c>
      <c r="K27" s="9"/>
    </row>
    <row r="28" spans="2:19" s="1" customFormat="1">
      <c r="B28" s="8"/>
      <c r="C28" s="261" t="s">
        <v>64</v>
      </c>
      <c r="D28" s="269" t="s">
        <v>77</v>
      </c>
      <c r="E28" s="155">
        <v>37.575681015583584</v>
      </c>
      <c r="F28" s="340">
        <v>39.530820183669519</v>
      </c>
      <c r="G28" s="270">
        <f t="shared" si="0"/>
        <v>5.2032035487928674E-2</v>
      </c>
      <c r="H28" s="228">
        <v>433.97371789630643</v>
      </c>
      <c r="I28" s="340">
        <v>381.14044550130319</v>
      </c>
      <c r="J28" s="270">
        <f t="shared" si="1"/>
        <v>-0.12174302317456742</v>
      </c>
      <c r="K28" s="9"/>
    </row>
    <row r="29" spans="2:19" s="1" customFormat="1">
      <c r="B29" s="8"/>
      <c r="C29" s="382" t="s">
        <v>76</v>
      </c>
      <c r="D29" s="383"/>
      <c r="E29" s="188">
        <f>SUM(E30:E31)</f>
        <v>212.27728135266301</v>
      </c>
      <c r="F29" s="339">
        <f>SUM(F30:F31)</f>
        <v>164.70168383284749</v>
      </c>
      <c r="G29" s="189">
        <f t="shared" si="0"/>
        <v>-0.224120062291436</v>
      </c>
      <c r="H29" s="227">
        <f>SUM(H30:H31)</f>
        <v>2053.3416606146402</v>
      </c>
      <c r="I29" s="339">
        <f>SUM(I30:I31)</f>
        <v>1747.2007812128011</v>
      </c>
      <c r="J29" s="189">
        <f t="shared" si="1"/>
        <v>-0.14909397947451175</v>
      </c>
      <c r="K29" s="9"/>
      <c r="Q29" s="144"/>
      <c r="R29" s="144"/>
      <c r="S29" s="144"/>
    </row>
    <row r="30" spans="2:19" s="1" customFormat="1">
      <c r="B30" s="8"/>
      <c r="C30" s="264" t="s">
        <v>68</v>
      </c>
      <c r="D30" s="151"/>
      <c r="E30" s="368">
        <v>42.578829352116422</v>
      </c>
      <c r="F30" s="372">
        <v>43.215191587931756</v>
      </c>
      <c r="G30" s="270">
        <f t="shared" si="0"/>
        <v>1.4945508025896448E-2</v>
      </c>
      <c r="H30" s="228">
        <v>437.75165188704312</v>
      </c>
      <c r="I30" s="340">
        <v>396.71347687414772</v>
      </c>
      <c r="J30" s="270">
        <f t="shared" si="1"/>
        <v>-9.3747618851898307E-2</v>
      </c>
      <c r="K30" s="9"/>
    </row>
    <row r="31" spans="2:19" s="1" customFormat="1" ht="13.5" thickBot="1">
      <c r="B31" s="8"/>
      <c r="C31" s="265" t="s">
        <v>64</v>
      </c>
      <c r="D31" s="266"/>
      <c r="E31" s="158">
        <v>169.69845200054658</v>
      </c>
      <c r="F31" s="315">
        <v>121.48649224491574</v>
      </c>
      <c r="G31" s="159">
        <f t="shared" si="0"/>
        <v>-0.28410370977029042</v>
      </c>
      <c r="H31" s="229">
        <v>1615.590008727597</v>
      </c>
      <c r="I31" s="315">
        <v>1350.4873043386533</v>
      </c>
      <c r="J31" s="291">
        <f t="shared" si="1"/>
        <v>-0.1640903341545995</v>
      </c>
      <c r="K31" s="9"/>
    </row>
    <row r="32" spans="2:19" s="1" customFormat="1" ht="14.25" thickTop="1" thickBot="1">
      <c r="B32" s="8"/>
      <c r="C32" s="377" t="s">
        <v>106</v>
      </c>
      <c r="D32" s="378"/>
      <c r="E32" s="190">
        <f>SUM(E25,E29)</f>
        <v>4808.845544760823</v>
      </c>
      <c r="F32" s="342">
        <f>SUM(F25,F29)</f>
        <v>4744.8743901159623</v>
      </c>
      <c r="G32" s="191">
        <f t="shared" si="0"/>
        <v>-1.3302809177258013E-2</v>
      </c>
      <c r="H32" s="230">
        <f>SUM(H25,H29)</f>
        <v>47261.786066501678</v>
      </c>
      <c r="I32" s="342">
        <f>SUM(I25,I29)</f>
        <v>43151.916326829596</v>
      </c>
      <c r="J32" s="191">
        <f t="shared" si="1"/>
        <v>-8.6959678880715985E-2</v>
      </c>
      <c r="K32" s="9"/>
    </row>
    <row r="33" spans="2:19" s="1" customFormat="1">
      <c r="B33" s="8"/>
      <c r="C33" s="302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116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7" t="s">
        <v>126</v>
      </c>
      <c r="F38" s="388"/>
      <c r="G38" s="389" t="s">
        <v>74</v>
      </c>
      <c r="H38" s="391" t="s">
        <v>127</v>
      </c>
      <c r="I38" s="392"/>
      <c r="J38" s="389" t="s">
        <v>74</v>
      </c>
      <c r="K38" s="9"/>
      <c r="Q38" s="144"/>
      <c r="R38" s="144">
        <v>2019</v>
      </c>
      <c r="S38" s="144">
        <v>2020</v>
      </c>
    </row>
    <row r="39" spans="2:19" s="1" customFormat="1" ht="12.75" customHeight="1">
      <c r="B39" s="8"/>
      <c r="C39" s="150" t="s">
        <v>75</v>
      </c>
      <c r="D39" s="151"/>
      <c r="E39" s="152">
        <v>2019</v>
      </c>
      <c r="F39" s="338">
        <v>2020</v>
      </c>
      <c r="G39" s="390"/>
      <c r="H39" s="231">
        <v>2019</v>
      </c>
      <c r="I39" s="343">
        <v>2020</v>
      </c>
      <c r="J39" s="390"/>
      <c r="K39" s="9"/>
      <c r="Q39" s="144" t="s">
        <v>66</v>
      </c>
      <c r="R39" s="145">
        <f>SUM(E41,E46)</f>
        <v>2218.7564108641654</v>
      </c>
      <c r="S39" s="145">
        <f>SUM(F41,F46)</f>
        <v>2130.9782218017426</v>
      </c>
    </row>
    <row r="40" spans="2:19" s="1" customFormat="1">
      <c r="B40" s="8"/>
      <c r="C40" s="382" t="s">
        <v>68</v>
      </c>
      <c r="D40" s="383"/>
      <c r="E40" s="188">
        <f>SUM(E41:E44)</f>
        <v>4601.5714117446951</v>
      </c>
      <c r="F40" s="339">
        <f>SUM(F41:F44)</f>
        <v>4583.8570776873776</v>
      </c>
      <c r="G40" s="189">
        <f>((F40/E40)-1)</f>
        <v>-3.8496271104485613E-3</v>
      </c>
      <c r="H40" s="227">
        <f>SUM(H41:H44)</f>
        <v>45212.222339877779</v>
      </c>
      <c r="I40" s="339">
        <f>SUM(I41:I44)</f>
        <v>41420.288576989624</v>
      </c>
      <c r="J40" s="189">
        <f>((I40/H40)-1)</f>
        <v>-8.3869661048349253E-2</v>
      </c>
      <c r="K40" s="9"/>
      <c r="Q40" s="144" t="s">
        <v>65</v>
      </c>
      <c r="R40" s="145">
        <f>SUM(E42,E47)</f>
        <v>2350.1000328966597</v>
      </c>
      <c r="S40" s="145">
        <f>SUM(F42,F47)</f>
        <v>2365.3850299942205</v>
      </c>
    </row>
    <row r="41" spans="2:19" s="1" customFormat="1">
      <c r="B41" s="8"/>
      <c r="C41" s="154" t="s">
        <v>66</v>
      </c>
      <c r="D41" s="130"/>
      <c r="E41" s="155">
        <v>2169.5725227446942</v>
      </c>
      <c r="F41" s="340">
        <f>D12</f>
        <v>2092.3340668188821</v>
      </c>
      <c r="G41" s="270">
        <f t="shared" ref="G41:G48" si="2">((F41/E41)-1)</f>
        <v>-3.5600771634081596E-2</v>
      </c>
      <c r="H41" s="228">
        <v>25010.686545480283</v>
      </c>
      <c r="I41" s="340">
        <v>25298.858862855854</v>
      </c>
      <c r="J41" s="270">
        <f t="shared" ref="J41:J48" si="3">((I41/H41)-1)</f>
        <v>1.1521967493836938E-2</v>
      </c>
      <c r="K41" s="9"/>
      <c r="Q41" s="144" t="s">
        <v>67</v>
      </c>
      <c r="R41" s="145">
        <f>E43</f>
        <v>162.89284799999999</v>
      </c>
      <c r="S41" s="145">
        <f>F43</f>
        <v>172.1726442299998</v>
      </c>
    </row>
    <row r="42" spans="2:19" s="1" customFormat="1">
      <c r="B42" s="8"/>
      <c r="C42" s="154" t="s">
        <v>65</v>
      </c>
      <c r="D42" s="130"/>
      <c r="E42" s="155">
        <v>2192.0097880000008</v>
      </c>
      <c r="F42" s="340">
        <f>D13</f>
        <v>2243.0118725484958</v>
      </c>
      <c r="G42" s="270">
        <f t="shared" si="2"/>
        <v>2.3267270441811982E-2</v>
      </c>
      <c r="H42" s="228">
        <v>18198.2177283975</v>
      </c>
      <c r="I42" s="340">
        <v>13998.341632088774</v>
      </c>
      <c r="J42" s="270">
        <f t="shared" si="3"/>
        <v>-0.23078502296161718</v>
      </c>
      <c r="K42" s="9"/>
      <c r="Q42" s="144" t="s">
        <v>5</v>
      </c>
      <c r="R42" s="145">
        <f>E44</f>
        <v>77.096253000000019</v>
      </c>
      <c r="S42" s="145">
        <f>F44</f>
        <v>76.338494089999998</v>
      </c>
    </row>
    <row r="43" spans="2:19" s="1" customFormat="1">
      <c r="B43" s="8"/>
      <c r="C43" s="154" t="s">
        <v>67</v>
      </c>
      <c r="D43" s="130"/>
      <c r="E43" s="155">
        <v>162.89284799999999</v>
      </c>
      <c r="F43" s="340">
        <f>D14</f>
        <v>172.1726442299998</v>
      </c>
      <c r="G43" s="270">
        <f t="shared" si="2"/>
        <v>5.6968714980045077E-2</v>
      </c>
      <c r="H43" s="228">
        <v>1394.0352130000001</v>
      </c>
      <c r="I43" s="340">
        <v>1500.3241188199997</v>
      </c>
      <c r="J43" s="270">
        <f t="shared" si="3"/>
        <v>7.6245495686771969E-2</v>
      </c>
      <c r="K43" s="9"/>
    </row>
    <row r="44" spans="2:19" s="1" customFormat="1">
      <c r="B44" s="8"/>
      <c r="C44" s="154" t="s">
        <v>5</v>
      </c>
      <c r="D44" s="130"/>
      <c r="E44" s="155">
        <v>77.096253000000019</v>
      </c>
      <c r="F44" s="340">
        <f>D15</f>
        <v>76.338494089999998</v>
      </c>
      <c r="G44" s="93">
        <f t="shared" si="2"/>
        <v>-9.8287384991333493E-3</v>
      </c>
      <c r="H44" s="228">
        <v>609.28285300000005</v>
      </c>
      <c r="I44" s="340">
        <v>622.76396322500011</v>
      </c>
      <c r="J44" s="156">
        <f t="shared" si="3"/>
        <v>2.2126193374097936E-2</v>
      </c>
      <c r="K44" s="9"/>
      <c r="Q44" s="144"/>
      <c r="R44" s="144"/>
      <c r="S44" s="144"/>
    </row>
    <row r="45" spans="2:19" s="1" customFormat="1">
      <c r="B45" s="8"/>
      <c r="C45" s="382" t="s">
        <v>64</v>
      </c>
      <c r="D45" s="383"/>
      <c r="E45" s="188">
        <f>SUM(E46:E47)</f>
        <v>207.27413301613024</v>
      </c>
      <c r="F45" s="339">
        <f>SUM(F46:F47)</f>
        <v>161.01731242858526</v>
      </c>
      <c r="G45" s="189">
        <f t="shared" si="2"/>
        <v>-0.22316735771339702</v>
      </c>
      <c r="H45" s="227">
        <f>SUM(H46:H47)</f>
        <v>2049.5637266239041</v>
      </c>
      <c r="I45" s="339">
        <f>SUM(I46:I47)</f>
        <v>1731.6277498399559</v>
      </c>
      <c r="J45" s="189">
        <f t="shared" si="3"/>
        <v>-0.15512373323841988</v>
      </c>
      <c r="K45" s="9"/>
    </row>
    <row r="46" spans="2:19" s="1" customFormat="1">
      <c r="B46" s="8"/>
      <c r="C46" s="154" t="s">
        <v>66</v>
      </c>
      <c r="D46" s="130"/>
      <c r="E46" s="155">
        <v>49.183888119471121</v>
      </c>
      <c r="F46" s="340">
        <f>E12</f>
        <v>38.644154982860464</v>
      </c>
      <c r="G46" s="156">
        <f t="shared" si="2"/>
        <v>-0.21429239410696654</v>
      </c>
      <c r="H46" s="228">
        <v>569.23056988155474</v>
      </c>
      <c r="I46" s="340">
        <v>504.72431748968</v>
      </c>
      <c r="J46" s="156">
        <f t="shared" si="3"/>
        <v>-0.11332183442870469</v>
      </c>
      <c r="K46" s="9"/>
    </row>
    <row r="47" spans="2:19" s="1" customFormat="1" ht="13.5" thickBot="1">
      <c r="B47" s="8"/>
      <c r="C47" s="157" t="s">
        <v>65</v>
      </c>
      <c r="D47" s="130"/>
      <c r="E47" s="158">
        <v>158.0902448966591</v>
      </c>
      <c r="F47" s="315">
        <f>E13</f>
        <v>122.37315744572479</v>
      </c>
      <c r="G47" s="291">
        <f t="shared" si="2"/>
        <v>-0.22592847189453069</v>
      </c>
      <c r="H47" s="229">
        <v>1480.3331567423493</v>
      </c>
      <c r="I47" s="315">
        <v>1226.9034323502758</v>
      </c>
      <c r="J47" s="159">
        <f t="shared" si="3"/>
        <v>-0.17119776263728093</v>
      </c>
      <c r="K47" s="9"/>
    </row>
    <row r="48" spans="2:19" s="1" customFormat="1" ht="14.25" thickTop="1" thickBot="1">
      <c r="B48" s="8"/>
      <c r="C48" s="377" t="s">
        <v>106</v>
      </c>
      <c r="D48" s="378"/>
      <c r="E48" s="190">
        <f>SUM(E40,E45)</f>
        <v>4808.8455447608249</v>
      </c>
      <c r="F48" s="342">
        <f>SUM(F40,F45)</f>
        <v>4744.8743901159633</v>
      </c>
      <c r="G48" s="191">
        <f t="shared" si="2"/>
        <v>-1.3302809177258235E-2</v>
      </c>
      <c r="H48" s="230">
        <f>SUM(H40,H45)</f>
        <v>47261.786066501685</v>
      </c>
      <c r="I48" s="342">
        <f>SUM(I40,I45)</f>
        <v>43151.916326829582</v>
      </c>
      <c r="J48" s="191">
        <f t="shared" si="3"/>
        <v>-8.6959678880716429E-2</v>
      </c>
      <c r="K48" s="9"/>
    </row>
    <row r="49" spans="2:23" s="1" customFormat="1">
      <c r="B49" s="8"/>
      <c r="C49" s="257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121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2"/>
    </row>
    <row r="53" spans="2:23" s="1" customFormat="1" ht="13.5" thickBot="1">
      <c r="B53" s="8"/>
      <c r="C53" s="10"/>
      <c r="H53" s="9"/>
      <c r="I53" s="9"/>
      <c r="J53" s="9"/>
      <c r="K53" s="9"/>
      <c r="L53" s="252"/>
      <c r="M53" s="252"/>
    </row>
    <row r="54" spans="2:23" s="1" customFormat="1" ht="12.75" customHeight="1">
      <c r="B54" s="8"/>
      <c r="C54" s="147"/>
      <c r="D54" s="148"/>
      <c r="E54" s="387" t="s">
        <v>126</v>
      </c>
      <c r="F54" s="388"/>
      <c r="G54" s="389" t="s">
        <v>74</v>
      </c>
      <c r="H54" s="391" t="s">
        <v>127</v>
      </c>
      <c r="I54" s="392"/>
      <c r="J54" s="389" t="s">
        <v>74</v>
      </c>
      <c r="K54" s="9"/>
      <c r="L54" s="252"/>
      <c r="M54" s="252"/>
    </row>
    <row r="55" spans="2:23" s="1" customFormat="1" ht="12.75" customHeight="1">
      <c r="B55" s="8"/>
      <c r="C55" s="150" t="s">
        <v>75</v>
      </c>
      <c r="D55" s="151"/>
      <c r="E55" s="152">
        <v>2019</v>
      </c>
      <c r="F55" s="338">
        <v>2020</v>
      </c>
      <c r="G55" s="390"/>
      <c r="H55" s="231">
        <v>2019</v>
      </c>
      <c r="I55" s="343">
        <v>2020</v>
      </c>
      <c r="J55" s="390"/>
      <c r="K55" s="9"/>
      <c r="L55" s="252"/>
      <c r="M55" s="252"/>
    </row>
    <row r="56" spans="2:23" s="1" customFormat="1">
      <c r="B56" s="8"/>
      <c r="C56" s="382" t="s">
        <v>68</v>
      </c>
      <c r="D56" s="383"/>
      <c r="E56" s="188">
        <f>SUM(E57:E60)</f>
        <v>4601.5714117446951</v>
      </c>
      <c r="F56" s="339">
        <f>SUM(F57:F60)</f>
        <v>4583.8570776873776</v>
      </c>
      <c r="G56" s="189">
        <f>((F56/E56)-1)</f>
        <v>-3.8496271104485613E-3</v>
      </c>
      <c r="H56" s="227">
        <f>SUM(H57:H60)</f>
        <v>45212.222339877786</v>
      </c>
      <c r="I56" s="339">
        <f>SUM(I57:I60)</f>
        <v>41420.288576989624</v>
      </c>
      <c r="J56" s="189">
        <f>((I56/H56)-1)</f>
        <v>-8.3869661048349475E-2</v>
      </c>
      <c r="K56" s="9"/>
    </row>
    <row r="57" spans="2:23" s="1" customFormat="1" ht="25.5">
      <c r="B57" s="8"/>
      <c r="C57" s="380" t="s">
        <v>78</v>
      </c>
      <c r="D57" s="272" t="s">
        <v>79</v>
      </c>
      <c r="E57" s="351">
        <f>SUM(E43:E44)+26.186358</f>
        <v>266.17545899999999</v>
      </c>
      <c r="F57" s="352">
        <f>SUM(F43:F44)+24.200038058565</f>
        <v>272.7111763785648</v>
      </c>
      <c r="G57" s="166">
        <f t="shared" ref="G57:G65" si="4">((F57/E57)-1)</f>
        <v>2.4554169656056946E-2</v>
      </c>
      <c r="H57" s="353">
        <f>SUM(H43:H44)+261.235796</f>
        <v>2264.5538620000002</v>
      </c>
      <c r="I57" s="352">
        <f>SUM(I43:I44)+220.609432451065</f>
        <v>2343.6975144960647</v>
      </c>
      <c r="J57" s="166">
        <f t="shared" ref="J57:J65" si="5">((I57/H57)-1)</f>
        <v>3.4948893830313521E-2</v>
      </c>
      <c r="K57" s="9"/>
      <c r="L57" s="252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81"/>
      <c r="D58" s="273" t="s">
        <v>108</v>
      </c>
      <c r="E58" s="262">
        <v>135.06042953499997</v>
      </c>
      <c r="F58" s="341">
        <v>126.61989448249994</v>
      </c>
      <c r="G58" s="271">
        <f t="shared" si="4"/>
        <v>-6.2494507692297252E-2</v>
      </c>
      <c r="H58" s="263">
        <v>1423.4923259349994</v>
      </c>
      <c r="I58" s="341">
        <v>1739.0385378550002</v>
      </c>
      <c r="J58" s="271">
        <f t="shared" si="5"/>
        <v>0.2216704692894913</v>
      </c>
      <c r="K58" s="9"/>
      <c r="L58" s="252"/>
      <c r="M58" s="252"/>
      <c r="Q58" s="386" t="s">
        <v>80</v>
      </c>
      <c r="R58" s="144" t="s">
        <v>66</v>
      </c>
      <c r="T58" s="145">
        <f>SUM(E60,E64)</f>
        <v>2083.6959813291655</v>
      </c>
      <c r="U58" s="145">
        <f>SUM(F60,F64)</f>
        <v>2004.3583273192426</v>
      </c>
      <c r="V58" s="146">
        <f t="shared" ref="V58:W61" si="6">T58/T$64</f>
        <v>0.43330482585354085</v>
      </c>
      <c r="W58" s="146">
        <f t="shared" si="6"/>
        <v>0.42242600383574258</v>
      </c>
    </row>
    <row r="59" spans="2:23" s="1" customFormat="1">
      <c r="B59" s="8"/>
      <c r="C59" s="379" t="s">
        <v>80</v>
      </c>
      <c r="D59" s="274" t="s">
        <v>81</v>
      </c>
      <c r="E59" s="155">
        <f>SUM(E42:E44)-E57</f>
        <v>2165.8234300000008</v>
      </c>
      <c r="F59" s="340">
        <f>SUM(F42:F44)-F57</f>
        <v>2218.8118344899308</v>
      </c>
      <c r="G59" s="270">
        <f t="shared" si="4"/>
        <v>2.4465708402614306E-2</v>
      </c>
      <c r="H59" s="228">
        <f>SUM(H42:H44)-H57</f>
        <v>17936.981932397499</v>
      </c>
      <c r="I59" s="340">
        <f>SUM(I42:I44)-I57</f>
        <v>13777.732199637707</v>
      </c>
      <c r="J59" s="270">
        <f t="shared" si="5"/>
        <v>-0.23188124671338495</v>
      </c>
      <c r="K59" s="9"/>
      <c r="Q59" s="386"/>
      <c r="R59" s="144" t="s">
        <v>65</v>
      </c>
      <c r="T59" s="145">
        <f>SUM(E59,E63)</f>
        <v>2300.8722308666597</v>
      </c>
      <c r="U59" s="145">
        <f>SUM(F59,F63)</f>
        <v>2318.4299162259035</v>
      </c>
      <c r="V59" s="146">
        <f t="shared" si="6"/>
        <v>0.4784666526404513</v>
      </c>
      <c r="W59" s="146">
        <f t="shared" si="6"/>
        <v>0.48861776426693604</v>
      </c>
    </row>
    <row r="60" spans="2:23" s="1" customFormat="1">
      <c r="B60" s="8"/>
      <c r="C60" s="379"/>
      <c r="D60" s="275" t="s">
        <v>41</v>
      </c>
      <c r="E60" s="155">
        <f>E41-E58</f>
        <v>2034.5120932096943</v>
      </c>
      <c r="F60" s="340">
        <f>F41-F58</f>
        <v>1965.714172336382</v>
      </c>
      <c r="G60" s="349">
        <f t="shared" si="4"/>
        <v>-3.3815439634362177E-2</v>
      </c>
      <c r="H60" s="228">
        <f>H41-H58</f>
        <v>23587.194219545283</v>
      </c>
      <c r="I60" s="340">
        <f>I41-I58</f>
        <v>23559.820325000852</v>
      </c>
      <c r="J60" s="349">
        <f t="shared" si="5"/>
        <v>-1.1605405157408821E-3</v>
      </c>
      <c r="K60" s="9"/>
      <c r="Q60" s="386" t="s">
        <v>78</v>
      </c>
      <c r="R60" s="144" t="s">
        <v>66</v>
      </c>
      <c r="T60" s="145">
        <f>E58</f>
        <v>135.06042953499997</v>
      </c>
      <c r="U60" s="145">
        <f>F58</f>
        <v>126.61989448249994</v>
      </c>
      <c r="V60" s="146">
        <f t="shared" si="6"/>
        <v>2.8085832301714606E-2</v>
      </c>
      <c r="W60" s="146">
        <f t="shared" si="6"/>
        <v>2.668561569222181E-2</v>
      </c>
    </row>
    <row r="61" spans="2:23" s="1" customFormat="1">
      <c r="B61" s="8"/>
      <c r="C61" s="382" t="s">
        <v>64</v>
      </c>
      <c r="D61" s="383"/>
      <c r="E61" s="188">
        <f>SUM(E62:E64)</f>
        <v>207.27413301613024</v>
      </c>
      <c r="F61" s="339">
        <f>SUM(F62:F64)</f>
        <v>161.01731242858526</v>
      </c>
      <c r="G61" s="189">
        <f t="shared" si="4"/>
        <v>-0.22316735771339702</v>
      </c>
      <c r="H61" s="227">
        <f>SUM(H62:H64)</f>
        <v>2049.5637266239041</v>
      </c>
      <c r="I61" s="339">
        <f>SUM(I62:I64)</f>
        <v>1731.6277498399559</v>
      </c>
      <c r="J61" s="189">
        <f t="shared" si="5"/>
        <v>-0.15512373323841988</v>
      </c>
      <c r="K61" s="9"/>
      <c r="Q61" s="386"/>
      <c r="R61" s="144" t="s">
        <v>89</v>
      </c>
      <c r="T61" s="145">
        <f>E57+E62</f>
        <v>289.21690302999997</v>
      </c>
      <c r="U61" s="145">
        <f>F57+F62</f>
        <v>295.46625208831682</v>
      </c>
      <c r="V61" s="146">
        <f t="shared" si="6"/>
        <v>6.0142689204293116E-2</v>
      </c>
      <c r="W61" s="146">
        <f t="shared" si="6"/>
        <v>6.2270616205099522E-2</v>
      </c>
    </row>
    <row r="62" spans="2:23" s="1" customFormat="1">
      <c r="B62" s="8"/>
      <c r="C62" s="303" t="s">
        <v>78</v>
      </c>
      <c r="D62" s="304" t="s">
        <v>112</v>
      </c>
      <c r="E62" s="374">
        <v>23.041444030000001</v>
      </c>
      <c r="F62" s="375">
        <v>22.755075709752038</v>
      </c>
      <c r="G62" s="305">
        <f t="shared" si="4"/>
        <v>-1.242840161732528E-2</v>
      </c>
      <c r="H62" s="354">
        <v>184.89502547000001</v>
      </c>
      <c r="I62" s="355">
        <v>189.54339750975205</v>
      </c>
      <c r="J62" s="305">
        <f t="shared" si="5"/>
        <v>2.5140600878449604E-2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84" t="s">
        <v>80</v>
      </c>
      <c r="D63" s="274" t="s">
        <v>81</v>
      </c>
      <c r="E63" s="155">
        <f>E47-E62</f>
        <v>135.04880086665909</v>
      </c>
      <c r="F63" s="340">
        <f>F47-F62</f>
        <v>99.618081735972751</v>
      </c>
      <c r="G63" s="270">
        <f t="shared" ref="G63" si="7">((F63/E63)-1)</f>
        <v>-0.26235493320424952</v>
      </c>
      <c r="H63" s="228">
        <f>H47-H62</f>
        <v>1295.4381312723492</v>
      </c>
      <c r="I63" s="340">
        <f>I47-I62</f>
        <v>1037.3600348405237</v>
      </c>
      <c r="J63" s="270">
        <f t="shared" ref="J63" si="8">((I63/H63)-1)</f>
        <v>-0.19922070394697067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85"/>
      <c r="D64" s="276" t="s">
        <v>41</v>
      </c>
      <c r="E64" s="365">
        <f>E46</f>
        <v>49.183888119471121</v>
      </c>
      <c r="F64" s="366">
        <f>F46</f>
        <v>38.644154982860464</v>
      </c>
      <c r="G64" s="291">
        <f t="shared" si="4"/>
        <v>-0.21429239410696654</v>
      </c>
      <c r="H64" s="229">
        <f>H46</f>
        <v>569.23056988155474</v>
      </c>
      <c r="I64" s="315">
        <f>I46</f>
        <v>504.72431748968</v>
      </c>
      <c r="J64" s="159">
        <f t="shared" si="5"/>
        <v>-0.11332183442870469</v>
      </c>
      <c r="K64" s="9"/>
      <c r="Q64" s="144"/>
      <c r="R64" s="144"/>
      <c r="T64" s="145">
        <f>SUM(T58:T61)</f>
        <v>4808.8455447608258</v>
      </c>
      <c r="U64" s="145">
        <f>SUM(U58:U61)</f>
        <v>4744.8743901159633</v>
      </c>
      <c r="V64" s="144"/>
      <c r="W64" s="144"/>
    </row>
    <row r="65" spans="2:22" s="1" customFormat="1" ht="14.25" thickTop="1" thickBot="1">
      <c r="B65" s="8"/>
      <c r="C65" s="377" t="s">
        <v>106</v>
      </c>
      <c r="D65" s="378"/>
      <c r="E65" s="190">
        <f>SUM(E56,E61)</f>
        <v>4808.8455447608249</v>
      </c>
      <c r="F65" s="342">
        <f>SUM(F56,F61)</f>
        <v>4744.8743901159633</v>
      </c>
      <c r="G65" s="191">
        <f t="shared" si="4"/>
        <v>-1.3302809177258235E-2</v>
      </c>
      <c r="H65" s="230">
        <f>SUM(H56,H61)</f>
        <v>47261.786066501692</v>
      </c>
      <c r="I65" s="342">
        <f>SUM(I56,I61)</f>
        <v>43151.916326829582</v>
      </c>
      <c r="J65" s="191">
        <f t="shared" si="5"/>
        <v>-8.695967888071654E-2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57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55" zoomScaleNormal="100" zoomScaleSheetLayoutView="100" workbookViewId="0">
      <selection activeCell="J60" sqref="J60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122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2130.9782218017426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2221.4821406083902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96.729272812577619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46.955113768317005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172.1726442299998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76.338494089999998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77">
        <f t="shared" si="0"/>
        <v>0.21850280493495899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4744.8743901159623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09"/>
      <c r="G23" s="256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117</v>
      </c>
      <c r="D24" s="9"/>
      <c r="E24" s="13"/>
      <c r="F24" s="13"/>
      <c r="G24" s="13"/>
      <c r="H24" s="26"/>
      <c r="I24" s="26"/>
      <c r="J24" s="292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3" t="s">
        <v>61</v>
      </c>
      <c r="D26" s="401" t="s">
        <v>126</v>
      </c>
      <c r="E26" s="401"/>
      <c r="F26" s="397" t="s">
        <v>74</v>
      </c>
      <c r="G26" s="395" t="s">
        <v>127</v>
      </c>
      <c r="H26" s="396"/>
      <c r="I26" s="397" t="s">
        <v>74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4"/>
      <c r="D27" s="95">
        <v>2019</v>
      </c>
      <c r="E27" s="96">
        <v>2020</v>
      </c>
      <c r="F27" s="398"/>
      <c r="G27" s="232">
        <v>2019</v>
      </c>
      <c r="H27" s="96">
        <v>2020</v>
      </c>
      <c r="I27" s="398"/>
      <c r="J27" s="20"/>
      <c r="K27" s="54"/>
      <c r="L27" s="54"/>
      <c r="M27" s="55" t="s">
        <v>85</v>
      </c>
      <c r="N27" s="70">
        <f t="shared" ref="N27:O29" si="1">D28</f>
        <v>2218.7564108641654</v>
      </c>
      <c r="O27" s="70">
        <f t="shared" si="1"/>
        <v>2130.9782218017426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2218.7564108641654</v>
      </c>
      <c r="E28" s="165">
        <f>'Resumen (G)'!F41+'Resumen (G)'!F46</f>
        <v>2130.9782218017426</v>
      </c>
      <c r="F28" s="166">
        <f>+E28/D28-1</f>
        <v>-3.9561886393934875E-2</v>
      </c>
      <c r="G28" s="246">
        <f>'Resumen (G)'!H41+'Resumen (G)'!H46</f>
        <v>25579.917115361837</v>
      </c>
      <c r="H28" s="165">
        <f>'Resumen (G)'!I41+'Resumen (G)'!I46</f>
        <v>25803.583180345533</v>
      </c>
      <c r="I28" s="166">
        <f>+H28/G28-1</f>
        <v>8.7438150786414148E-3</v>
      </c>
      <c r="J28" s="292"/>
      <c r="K28" s="54"/>
      <c r="L28" s="54"/>
      <c r="M28" s="55" t="s">
        <v>2</v>
      </c>
      <c r="N28" s="70">
        <f t="shared" si="1"/>
        <v>2180.5443619999996</v>
      </c>
      <c r="O28" s="70">
        <f t="shared" si="1"/>
        <v>2221.4821406083902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2180.5443619999996</v>
      </c>
      <c r="E29" s="169">
        <v>2221.4821406083902</v>
      </c>
      <c r="F29" s="170">
        <f t="shared" ref="F29:F35" si="2">+E29/D29-1</f>
        <v>1.8774109493852498E-2</v>
      </c>
      <c r="G29" s="247">
        <v>17952.732104397503</v>
      </c>
      <c r="H29" s="169">
        <v>13946.645986461172</v>
      </c>
      <c r="I29" s="170">
        <f t="shared" ref="I29:I35" si="3">+H29/G29-1</f>
        <v>-0.22314632082963259</v>
      </c>
      <c r="J29" s="254"/>
      <c r="K29" s="255"/>
      <c r="L29" s="54"/>
      <c r="M29" s="55" t="s">
        <v>84</v>
      </c>
      <c r="N29" s="70">
        <f t="shared" si="1"/>
        <v>119.96083872265808</v>
      </c>
      <c r="O29" s="70">
        <f t="shared" si="1"/>
        <v>96.729272812577619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119.96083872265808</v>
      </c>
      <c r="E30" s="169">
        <f>'Resumen (G)'!F32-SUM('TipoRecurso (G)'!E28:E29,'TipoRecurso (G)'!E31:E34)</f>
        <v>96.729272812577619</v>
      </c>
      <c r="F30" s="170">
        <f t="shared" si="2"/>
        <v>-0.19365958222241497</v>
      </c>
      <c r="G30" s="247">
        <f>'Resumen (G)'!H32-SUM('TipoRecurso (G)'!G28:G29,'TipoRecurso (G)'!G31:G34)</f>
        <v>1276.3136738283429</v>
      </c>
      <c r="H30" s="169">
        <f>'Resumen (G)'!I32-SUM('TipoRecurso (G)'!H28:H29,'TipoRecurso (G)'!H31:H34)</f>
        <v>866.21974521213997</v>
      </c>
      <c r="I30" s="170">
        <f t="shared" si="3"/>
        <v>-0.32131123956865038</v>
      </c>
      <c r="J30" s="292"/>
      <c r="K30" s="54"/>
      <c r="L30" s="54"/>
      <c r="M30" s="55" t="s">
        <v>4</v>
      </c>
      <c r="N30" s="99">
        <f>D34</f>
        <v>0.367030144</v>
      </c>
      <c r="O30" s="99">
        <f>E34</f>
        <v>0.21850280493495899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49.227802029999964</v>
      </c>
      <c r="E31" s="169">
        <f>'Resumen (G)'!F57+'Resumen (G)'!F62-SUM('TipoRecurso (G)'!E32:E33)</f>
        <v>46.955113768317005</v>
      </c>
      <c r="F31" s="170">
        <f t="shared" si="2"/>
        <v>-4.6166762844661591E-2</v>
      </c>
      <c r="G31" s="247">
        <f>'Resumen (G)'!H57+'Resumen (G)'!H62-SUM('TipoRecurso (G)'!G32:G33)</f>
        <v>446.13082146999977</v>
      </c>
      <c r="H31" s="169">
        <f>'Resumen (G)'!I57+'Resumen (G)'!I62-SUM('TipoRecurso (G)'!H32:H33)</f>
        <v>410.15282996081714</v>
      </c>
      <c r="I31" s="170">
        <f t="shared" si="3"/>
        <v>-8.0644487620548766E-2</v>
      </c>
      <c r="J31" s="20"/>
      <c r="K31" s="54"/>
      <c r="L31" s="54"/>
      <c r="M31" s="55" t="s">
        <v>90</v>
      </c>
      <c r="N31" s="70">
        <f t="shared" ref="N31:O33" si="4">D31</f>
        <v>49.227802029999964</v>
      </c>
      <c r="O31" s="70">
        <f t="shared" si="4"/>
        <v>46.955113768317005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162.89284799999999</v>
      </c>
      <c r="E32" s="169">
        <f>'Resumen (G)'!F43</f>
        <v>172.1726442299998</v>
      </c>
      <c r="F32" s="170">
        <f t="shared" si="2"/>
        <v>5.6968714980045077E-2</v>
      </c>
      <c r="G32" s="247">
        <f>'Resumen (G)'!H43</f>
        <v>1394.0352130000001</v>
      </c>
      <c r="H32" s="169">
        <f>'Resumen (G)'!I43</f>
        <v>1500.3241188199997</v>
      </c>
      <c r="I32" s="170">
        <f t="shared" si="3"/>
        <v>7.6245495686771969E-2</v>
      </c>
      <c r="J32" s="20"/>
      <c r="K32" s="54"/>
      <c r="L32" s="54"/>
      <c r="M32" s="55" t="s">
        <v>14</v>
      </c>
      <c r="N32" s="70">
        <f t="shared" si="4"/>
        <v>162.89284799999999</v>
      </c>
      <c r="O32" s="70">
        <f t="shared" si="4"/>
        <v>172.1726442299998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77.096253000000019</v>
      </c>
      <c r="E33" s="169">
        <f>'Resumen (G)'!F44</f>
        <v>76.338494089999998</v>
      </c>
      <c r="F33" s="170">
        <f t="shared" si="2"/>
        <v>-9.8287384991333493E-3</v>
      </c>
      <c r="G33" s="247">
        <f>'Resumen (G)'!H44</f>
        <v>609.28285300000005</v>
      </c>
      <c r="H33" s="169">
        <f>'Resumen (G)'!I44</f>
        <v>622.76396322500011</v>
      </c>
      <c r="I33" s="170">
        <f t="shared" si="3"/>
        <v>2.2126193374097936E-2</v>
      </c>
      <c r="J33" s="20"/>
      <c r="K33" s="54"/>
      <c r="L33" s="54"/>
      <c r="M33" s="55" t="s">
        <v>5</v>
      </c>
      <c r="N33" s="70">
        <f t="shared" si="4"/>
        <v>77.096253000000019</v>
      </c>
      <c r="O33" s="70">
        <f t="shared" si="4"/>
        <v>76.338494089999998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0.367030144</v>
      </c>
      <c r="E34" s="173">
        <v>0.21850280493495899</v>
      </c>
      <c r="F34" s="174">
        <f t="shared" si="2"/>
        <v>-0.40467340760175008</v>
      </c>
      <c r="G34" s="248">
        <v>3.3742854439999999</v>
      </c>
      <c r="H34" s="173">
        <v>2.2265028049349591</v>
      </c>
      <c r="I34" s="174">
        <f t="shared" si="3"/>
        <v>-0.3401557627870444</v>
      </c>
      <c r="J34" s="20"/>
      <c r="K34" s="54"/>
      <c r="L34" s="54"/>
      <c r="M34" s="97"/>
      <c r="N34" s="98">
        <f>SUM(N27:N33)</f>
        <v>4808.845544760823</v>
      </c>
      <c r="O34" s="98">
        <f>SUM(O27:O33)</f>
        <v>4744.8743901159623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5" t="s">
        <v>106</v>
      </c>
      <c r="D35" s="296">
        <f>SUM(D28:D34)</f>
        <v>4808.845544760823</v>
      </c>
      <c r="E35" s="297">
        <f>SUM(E28:E34)</f>
        <v>4744.8743901159623</v>
      </c>
      <c r="F35" s="298">
        <f t="shared" si="2"/>
        <v>-1.3302809177258013E-2</v>
      </c>
      <c r="G35" s="299">
        <f>SUM(G28:G34)</f>
        <v>47261.786066501678</v>
      </c>
      <c r="H35" s="297">
        <f>SUM(H28:H34)</f>
        <v>43151.916326829596</v>
      </c>
      <c r="I35" s="300">
        <f t="shared" si="3"/>
        <v>-8.6959678880715985E-2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1"/>
      <c r="N39" s="22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1">
        <f t="shared" ref="M40:N46" si="5">N27/N$34</f>
        <v>0.46139065815525576</v>
      </c>
      <c r="N40" s="221">
        <f t="shared" si="5"/>
        <v>0.44911161952796447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1">
        <f t="shared" si="5"/>
        <v>0.45344445807282696</v>
      </c>
      <c r="N41" s="221">
        <f t="shared" si="5"/>
        <v>0.4681856584519824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1">
        <f t="shared" si="5"/>
        <v>2.4945870605753581E-2</v>
      </c>
      <c r="N42" s="221">
        <f t="shared" si="5"/>
        <v>2.0386055532697379E-2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1">
        <f t="shared" si="5"/>
        <v>7.6323961870614605E-5</v>
      </c>
      <c r="N43" s="221">
        <f t="shared" si="5"/>
        <v>4.6050282256179788E-5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1">
        <f t="shared" si="5"/>
        <v>1.0236927256612148E-2</v>
      </c>
      <c r="N44" s="221">
        <f t="shared" si="5"/>
        <v>9.8959656057764356E-3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1">
        <f t="shared" si="5"/>
        <v>3.3873587014552738E-2</v>
      </c>
      <c r="N45" s="221">
        <f t="shared" si="5"/>
        <v>3.6286027842729045E-2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1">
        <f t="shared" si="5"/>
        <v>1.6032174933128269E-2</v>
      </c>
      <c r="N46" s="221">
        <f t="shared" si="5"/>
        <v>1.6088622756594052E-2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1">
        <f>N34/N$34</f>
        <v>1</v>
      </c>
      <c r="N47" s="22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2">
        <f>SUM(M39:M46)</f>
        <v>1.0000000000000002</v>
      </c>
      <c r="N49" s="222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118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9" t="s">
        <v>91</v>
      </c>
      <c r="D53" s="401" t="s">
        <v>126</v>
      </c>
      <c r="E53" s="401"/>
      <c r="F53" s="397" t="s">
        <v>74</v>
      </c>
      <c r="G53" s="395" t="s">
        <v>127</v>
      </c>
      <c r="H53" s="396"/>
      <c r="I53" s="397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400"/>
      <c r="D54" s="95">
        <v>2019</v>
      </c>
      <c r="E54" s="96">
        <v>2020</v>
      </c>
      <c r="F54" s="398"/>
      <c r="G54" s="232">
        <v>2019</v>
      </c>
      <c r="H54" s="96">
        <v>2020</v>
      </c>
      <c r="I54" s="398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2" t="s">
        <v>42</v>
      </c>
      <c r="D55" s="283">
        <f>SUM(D28:D30,D34)</f>
        <v>4519.6286417308229</v>
      </c>
      <c r="E55" s="284">
        <f>SUM(E28:E30,E34)</f>
        <v>4449.4081380276457</v>
      </c>
      <c r="F55" s="166">
        <f>+E55/D55-1</f>
        <v>-1.5536786154246029E-2</v>
      </c>
      <c r="G55" s="285">
        <f>SUM(G28:G30,G34)</f>
        <v>44812.337179031681</v>
      </c>
      <c r="H55" s="284">
        <f>SUM(H28:H30,H34)</f>
        <v>40618.675414823781</v>
      </c>
      <c r="I55" s="166">
        <f>+H55/G55-1</f>
        <v>-9.3582750380852064E-2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6" t="s">
        <v>123</v>
      </c>
      <c r="D56" s="287">
        <f>SUM(D31:D33)</f>
        <v>289.21690302999997</v>
      </c>
      <c r="E56" s="288">
        <f>SUM(E31:E33)</f>
        <v>295.46625208831682</v>
      </c>
      <c r="F56" s="356">
        <f>+E56/D56-1</f>
        <v>2.1607827871902074E-2</v>
      </c>
      <c r="G56" s="289">
        <f>SUM(G31:G33)</f>
        <v>2449.44888747</v>
      </c>
      <c r="H56" s="288">
        <f>SUM(H31:H33)</f>
        <v>2533.2409120058169</v>
      </c>
      <c r="I56" s="357">
        <f>+H56/G56-1</f>
        <v>3.4208521339003983E-2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4808.845544760823</v>
      </c>
      <c r="E57" s="101">
        <f>SUM(E55:E56)</f>
        <v>4744.8743901159623</v>
      </c>
      <c r="F57" s="102">
        <f>+E57/D57-1</f>
        <v>-1.3302809177258013E-2</v>
      </c>
      <c r="G57" s="249">
        <f>SUM(G55:G56)</f>
        <v>47261.786066501678</v>
      </c>
      <c r="H57" s="101">
        <f>SUM(H55:H56)</f>
        <v>43151.916326829596</v>
      </c>
      <c r="I57" s="102">
        <f>+H57/G57-1</f>
        <v>-8.6959678880715985E-2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6.0142689204293151E-2</v>
      </c>
      <c r="E58" s="104">
        <f>+E56/E57</f>
        <v>6.2270616205099535E-2</v>
      </c>
      <c r="F58" s="105"/>
      <c r="G58" s="250">
        <f>+G56/G57</f>
        <v>5.1827260273731517E-2</v>
      </c>
      <c r="H58" s="104">
        <f>+H56/H57</f>
        <v>5.8705177606000795E-2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58" t="s">
        <v>124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4519.6286417308229</v>
      </c>
      <c r="N63" s="76">
        <f>E55</f>
        <v>4449.4081380276457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289.21690302999997</v>
      </c>
      <c r="N64" s="76">
        <f>E56</f>
        <v>295.46625208831682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58" t="s">
        <v>124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119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0"/>
      <c r="D76" s="401" t="s">
        <v>126</v>
      </c>
      <c r="E76" s="401"/>
      <c r="F76" s="106" t="s">
        <v>74</v>
      </c>
      <c r="G76" s="395" t="s">
        <v>127</v>
      </c>
      <c r="H76" s="396"/>
      <c r="I76" s="219" t="s">
        <v>74</v>
      </c>
      <c r="J76" s="19"/>
      <c r="K76" s="57"/>
      <c r="L76" s="57"/>
      <c r="M76" s="55" t="s">
        <v>96</v>
      </c>
      <c r="N76" s="70">
        <f>D78</f>
        <v>3.9287996150000004</v>
      </c>
      <c r="O76" s="70">
        <f>E78</f>
        <v>14.146801152500002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2019</v>
      </c>
      <c r="E77" s="224">
        <v>2020</v>
      </c>
      <c r="F77" s="107"/>
      <c r="G77" s="329">
        <v>2019</v>
      </c>
      <c r="H77" s="96">
        <v>2020</v>
      </c>
      <c r="I77" s="220"/>
      <c r="J77" s="19"/>
      <c r="K77" s="57"/>
      <c r="L77" s="57"/>
      <c r="M77" s="55" t="s">
        <v>97</v>
      </c>
      <c r="N77" s="70">
        <f>D79</f>
        <v>4597.6426121296954</v>
      </c>
      <c r="O77" s="70">
        <f>E79</f>
        <v>4569.7102765348773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09" t="s">
        <v>96</v>
      </c>
      <c r="D78" s="368">
        <v>3.9287996150000004</v>
      </c>
      <c r="E78" s="367">
        <v>14.146801152500002</v>
      </c>
      <c r="F78" s="156">
        <f>((E78/D78)-1)</f>
        <v>2.6007947818178558</v>
      </c>
      <c r="G78" s="228">
        <v>188.7096772575</v>
      </c>
      <c r="H78" s="317">
        <v>39.862542495000007</v>
      </c>
      <c r="I78" s="156">
        <f>((H78/G78)-1)</f>
        <v>-0.78876259514446434</v>
      </c>
      <c r="J78" s="19"/>
      <c r="K78" s="253"/>
      <c r="L78" s="57"/>
    </row>
    <row r="79" spans="2:28" ht="16.5" customHeight="1" thickBot="1">
      <c r="C79" s="290" t="s">
        <v>97</v>
      </c>
      <c r="D79" s="158">
        <f>'Resumen (G)'!E40-D78</f>
        <v>4597.6426121296954</v>
      </c>
      <c r="E79" s="315">
        <f>'Resumen (G)'!F40-E78</f>
        <v>4569.7102765348773</v>
      </c>
      <c r="F79" s="159">
        <f>((E79/D79)-1)</f>
        <v>-6.0753603425212077E-3</v>
      </c>
      <c r="G79" s="229">
        <f>'Resumen (G)'!H40-G78</f>
        <v>45023.512662620276</v>
      </c>
      <c r="H79" s="315">
        <f>'Resumen (G)'!I40-H78</f>
        <v>41380.426034494623</v>
      </c>
      <c r="I79" s="159">
        <f>((H79/G79)-1)</f>
        <v>-8.0915202139486553E-2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3">
        <f>SUM(D78:D79)</f>
        <v>4601.5714117446951</v>
      </c>
      <c r="E80" s="316">
        <f>SUM(E78:E79)</f>
        <v>4583.8570776873776</v>
      </c>
      <c r="F80" s="128"/>
      <c r="G80" s="251">
        <f>SUM(G78:G79)</f>
        <v>45212.222339877779</v>
      </c>
      <c r="H80" s="316">
        <f>SUM(H78:H79)</f>
        <v>41420.288576989624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topLeftCell="A27" zoomScale="70" zoomScaleNormal="100" zoomScaleSheetLayoutView="7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120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1" t="s">
        <v>44</v>
      </c>
      <c r="D8" s="409" t="s">
        <v>126</v>
      </c>
      <c r="E8" s="410"/>
      <c r="F8" s="397" t="s">
        <v>74</v>
      </c>
      <c r="G8" s="395" t="s">
        <v>127</v>
      </c>
      <c r="H8" s="396"/>
      <c r="I8" s="397" t="s">
        <v>74</v>
      </c>
      <c r="J8" s="26"/>
    </row>
    <row r="9" spans="2:13" s="1" customFormat="1" ht="13.5" customHeight="1">
      <c r="B9" s="19"/>
      <c r="C9" s="202"/>
      <c r="D9" s="110">
        <v>2019</v>
      </c>
      <c r="E9" s="96">
        <v>2020</v>
      </c>
      <c r="F9" s="398"/>
      <c r="G9" s="232">
        <v>2019</v>
      </c>
      <c r="H9" s="96">
        <v>2020</v>
      </c>
      <c r="I9" s="398"/>
      <c r="J9" s="26"/>
    </row>
    <row r="10" spans="2:13">
      <c r="C10" s="192" t="s">
        <v>10</v>
      </c>
      <c r="D10" s="193">
        <f>'Por Región (G)'!O8</f>
        <v>282.95570440372933</v>
      </c>
      <c r="E10" s="194">
        <f>'Por Región (G)'!P8</f>
        <v>309.94257228594023</v>
      </c>
      <c r="F10" s="358">
        <f>+E10/D10-1</f>
        <v>9.5374885405050014E-2</v>
      </c>
      <c r="G10" s="325">
        <f>'Por Región (G)'!Q8</f>
        <v>2857.2790546557239</v>
      </c>
      <c r="H10" s="194">
        <f>'Por Región (G)'!R8</f>
        <v>2809.9112337018046</v>
      </c>
      <c r="I10" s="358">
        <f>+H10/G10-1</f>
        <v>-1.6577947077565658E-2</v>
      </c>
      <c r="J10" s="26"/>
      <c r="L10" s="144" t="s">
        <v>9</v>
      </c>
      <c r="M10" s="225">
        <f>E11</f>
        <v>3858.6281886791107</v>
      </c>
    </row>
    <row r="11" spans="2:13">
      <c r="C11" s="195" t="s">
        <v>9</v>
      </c>
      <c r="D11" s="196">
        <f>'Por Región (G)'!O9</f>
        <v>3879.960477074796</v>
      </c>
      <c r="E11" s="197">
        <f>'Por Región (G)'!P9</f>
        <v>3858.6281886791107</v>
      </c>
      <c r="F11" s="359">
        <f>+E11/D11-1</f>
        <v>-5.4980684782047762E-3</v>
      </c>
      <c r="G11" s="326">
        <f>'Por Región (G)'!Q9</f>
        <v>38061.157644604005</v>
      </c>
      <c r="H11" s="197">
        <f>'Por Región (G)'!R9</f>
        <v>34295.925716408761</v>
      </c>
      <c r="I11" s="359">
        <f>+H11/G11-1</f>
        <v>-9.8925838340312433E-2</v>
      </c>
      <c r="J11" s="26"/>
      <c r="L11" s="144" t="s">
        <v>12</v>
      </c>
      <c r="M11" s="225">
        <f>E12</f>
        <v>542.56543689778789</v>
      </c>
    </row>
    <row r="12" spans="2:13">
      <c r="C12" s="195" t="s">
        <v>12</v>
      </c>
      <c r="D12" s="196">
        <f>'Por Región (G)'!O10</f>
        <v>569.25268054896594</v>
      </c>
      <c r="E12" s="197">
        <f>'Por Región (G)'!P10</f>
        <v>542.56543689778789</v>
      </c>
      <c r="F12" s="359">
        <f>+E12/D12-1</f>
        <v>-4.6881191012472456E-2</v>
      </c>
      <c r="G12" s="326">
        <f>'Por Región (G)'!Q10</f>
        <v>5643.9878539086285</v>
      </c>
      <c r="H12" s="197">
        <f>'Por Región (G)'!R10</f>
        <v>5614.676630938674</v>
      </c>
      <c r="I12" s="359">
        <f>+H12/G12-1</f>
        <v>-5.1933533041989E-3</v>
      </c>
      <c r="J12" s="26"/>
      <c r="L12" s="144" t="s">
        <v>10</v>
      </c>
      <c r="M12" s="225">
        <f>E10</f>
        <v>309.94257228594023</v>
      </c>
    </row>
    <row r="13" spans="2:13">
      <c r="C13" s="198" t="s">
        <v>11</v>
      </c>
      <c r="D13" s="199">
        <f>'Por Región (G)'!O11</f>
        <v>76.676682733333351</v>
      </c>
      <c r="E13" s="200">
        <f>'Por Región (G)'!P11</f>
        <v>33.73819225312085</v>
      </c>
      <c r="F13" s="360">
        <f>+E13/D13-1</f>
        <v>-0.55999410706830199</v>
      </c>
      <c r="G13" s="327">
        <f>'Por Región (G)'!Q11</f>
        <v>699.36151333333316</v>
      </c>
      <c r="H13" s="200">
        <f>'Por Región (G)'!R11</f>
        <v>431.40274578035007</v>
      </c>
      <c r="I13" s="360">
        <f>+H13/G13-1</f>
        <v>-0.38314771751711663</v>
      </c>
      <c r="J13" s="26"/>
      <c r="L13" s="144" t="s">
        <v>11</v>
      </c>
      <c r="M13" s="225">
        <f>E13</f>
        <v>33.73819225312085</v>
      </c>
    </row>
    <row r="14" spans="2:13" ht="13.5" thickBot="1">
      <c r="C14" s="203" t="s">
        <v>106</v>
      </c>
      <c r="D14" s="204">
        <f>SUM(D10:D13)</f>
        <v>4808.8455447608249</v>
      </c>
      <c r="E14" s="205">
        <f>SUM(E10:E13)</f>
        <v>4744.8743901159596</v>
      </c>
      <c r="F14" s="206">
        <f>+E14/D14-1</f>
        <v>-1.3302809177259012E-2</v>
      </c>
      <c r="G14" s="328">
        <f>SUM(G10:G13)</f>
        <v>47261.786066501685</v>
      </c>
      <c r="H14" s="205">
        <f>SUM(H10:H13)</f>
        <v>43151.916326829589</v>
      </c>
      <c r="I14" s="206">
        <f>+H14/G14-1</f>
        <v>-8.6959678880716207E-2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6" t="s">
        <v>93</v>
      </c>
      <c r="D18" s="406"/>
      <c r="E18" s="406"/>
      <c r="F18" s="406"/>
      <c r="G18" s="407" t="s">
        <v>105</v>
      </c>
      <c r="H18" s="408"/>
      <c r="I18" s="408"/>
      <c r="J18" s="408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21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07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402" t="s">
        <v>13</v>
      </c>
      <c r="D54" s="404" t="s">
        <v>131</v>
      </c>
      <c r="E54" s="405"/>
      <c r="F54" s="405"/>
      <c r="G54" s="405"/>
      <c r="H54" s="405"/>
      <c r="I54" s="19"/>
      <c r="J54" s="19"/>
    </row>
    <row r="55" spans="3:13">
      <c r="C55" s="403"/>
      <c r="D55" s="113" t="s">
        <v>14</v>
      </c>
      <c r="E55" s="333" t="s">
        <v>15</v>
      </c>
      <c r="F55" s="333" t="s">
        <v>5</v>
      </c>
      <c r="G55" s="114" t="s">
        <v>16</v>
      </c>
      <c r="H55" s="344" t="s">
        <v>71</v>
      </c>
      <c r="I55" s="19"/>
      <c r="J55" s="19"/>
    </row>
    <row r="56" spans="3:13">
      <c r="C56" s="208" t="s">
        <v>10</v>
      </c>
      <c r="D56" s="322">
        <f>'Resumen (G)'!F14-'PorZona (G)'!D58</f>
        <v>95.043828682499779</v>
      </c>
      <c r="E56" s="334">
        <v>68.756840889108119</v>
      </c>
      <c r="F56" s="334">
        <v>0</v>
      </c>
      <c r="G56" s="212">
        <v>146.14190271433233</v>
      </c>
      <c r="H56" s="345">
        <f>SUM(D56:G56)</f>
        <v>309.94257228594023</v>
      </c>
      <c r="I56" s="319"/>
      <c r="K56" s="301"/>
      <c r="L56" s="314"/>
      <c r="M56" s="350"/>
    </row>
    <row r="57" spans="3:13">
      <c r="C57" s="209" t="s">
        <v>9</v>
      </c>
      <c r="D57" s="323">
        <v>0</v>
      </c>
      <c r="E57" s="371">
        <v>1737.4561183146068</v>
      </c>
      <c r="F57" s="376">
        <v>6.4619999999999999E-3</v>
      </c>
      <c r="G57" s="213">
        <v>2121.1656083645039</v>
      </c>
      <c r="H57" s="346">
        <f>SUM(D57:G57)</f>
        <v>3858.6281886791107</v>
      </c>
      <c r="I57" s="319"/>
      <c r="K57" s="301"/>
      <c r="L57" s="314"/>
      <c r="M57" s="350"/>
    </row>
    <row r="58" spans="3:13">
      <c r="C58" s="209" t="s">
        <v>12</v>
      </c>
      <c r="D58" s="323">
        <v>77.128815547500025</v>
      </c>
      <c r="E58" s="335">
        <v>324.76526259802779</v>
      </c>
      <c r="F58" s="335">
        <f>'Resumen (G)'!D15-F57</f>
        <v>76.332032089999998</v>
      </c>
      <c r="G58" s="213">
        <v>64.339326662260078</v>
      </c>
      <c r="H58" s="346">
        <f>SUM(D58:G58)</f>
        <v>542.56543689778789</v>
      </c>
      <c r="I58" s="319"/>
      <c r="K58" s="301"/>
      <c r="L58" s="314"/>
      <c r="M58" s="350"/>
    </row>
    <row r="59" spans="3:13">
      <c r="C59" s="210" t="s">
        <v>11</v>
      </c>
      <c r="D59" s="324">
        <v>0</v>
      </c>
      <c r="E59" s="336">
        <v>0</v>
      </c>
      <c r="F59" s="336">
        <v>0</v>
      </c>
      <c r="G59" s="214">
        <f>E13</f>
        <v>33.73819225312085</v>
      </c>
      <c r="H59" s="347">
        <f>SUM(D59:G59)</f>
        <v>33.73819225312085</v>
      </c>
      <c r="I59" s="319"/>
      <c r="K59" s="19"/>
      <c r="L59" s="314"/>
      <c r="M59" s="314"/>
    </row>
    <row r="60" spans="3:13" ht="13.5" thickBot="1">
      <c r="C60" s="115" t="s">
        <v>106</v>
      </c>
      <c r="D60" s="215">
        <f>SUM(D56:D59)</f>
        <v>172.1726442299998</v>
      </c>
      <c r="E60" s="337">
        <f>SUM(E56:E59)</f>
        <v>2130.9782218017426</v>
      </c>
      <c r="F60" s="337">
        <f>SUM(F56:F59)</f>
        <v>76.338494089999998</v>
      </c>
      <c r="G60" s="216">
        <f>SUM(G56:G59)</f>
        <v>2365.3850299942173</v>
      </c>
      <c r="H60" s="348">
        <f>SUM(H56:H59)</f>
        <v>4744.8743901159596</v>
      </c>
      <c r="I60" s="19"/>
      <c r="J60" s="19"/>
      <c r="M60" s="314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301"/>
      <c r="G63" s="19"/>
      <c r="H63" s="19"/>
      <c r="I63" s="19"/>
      <c r="J63" s="19"/>
    </row>
    <row r="64" spans="3:13">
      <c r="F64" s="301"/>
      <c r="H64" s="121"/>
    </row>
    <row r="65" spans="5:6">
      <c r="F65" s="301"/>
    </row>
    <row r="67" spans="5:6">
      <c r="E67" s="320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70" zoomScaleNormal="100" zoomScaleSheetLayoutView="7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09" t="s">
        <v>126</v>
      </c>
      <c r="E6" s="410"/>
      <c r="F6" s="397" t="s">
        <v>74</v>
      </c>
      <c r="G6" s="395" t="s">
        <v>127</v>
      </c>
      <c r="H6" s="396"/>
      <c r="I6" s="397" t="s">
        <v>74</v>
      </c>
      <c r="O6" s="47"/>
      <c r="P6" s="86"/>
      <c r="Q6" s="411" t="s">
        <v>114</v>
      </c>
      <c r="R6" s="411"/>
    </row>
    <row r="7" spans="3:19" ht="12.75" customHeight="1">
      <c r="C7" s="109"/>
      <c r="D7" s="110">
        <v>2019</v>
      </c>
      <c r="E7" s="96">
        <v>2020</v>
      </c>
      <c r="F7" s="398"/>
      <c r="G7" s="232">
        <v>2019</v>
      </c>
      <c r="H7" s="96">
        <v>2020</v>
      </c>
      <c r="I7" s="398"/>
      <c r="N7" s="54"/>
      <c r="O7" s="311">
        <v>2019</v>
      </c>
      <c r="P7" s="313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217">
        <v>3.6145749999999999</v>
      </c>
      <c r="E8" s="278">
        <v>3.1846733110401919</v>
      </c>
      <c r="F8" s="361">
        <f>+E8/D8-1</f>
        <v>-0.11893561178279821</v>
      </c>
      <c r="G8" s="233">
        <v>46.996260999999997</v>
      </c>
      <c r="H8" s="278">
        <v>31.087328173695553</v>
      </c>
      <c r="I8" s="361">
        <f>+H8/G8-1</f>
        <v>-0.33851486241223416</v>
      </c>
      <c r="J8" s="26"/>
      <c r="K8" s="46"/>
      <c r="L8" s="46"/>
      <c r="N8" s="57" t="s">
        <v>10</v>
      </c>
      <c r="O8" s="71">
        <f>SUM(D8,D13,D20,D21,D27,D29,D31)</f>
        <v>282.95570440372933</v>
      </c>
      <c r="P8" s="71">
        <f t="shared" ref="P8" si="0">SUM(E8,E13,E20,E21,E27,E29,E31)</f>
        <v>309.94257228594023</v>
      </c>
      <c r="Q8" s="71">
        <f>SUM(G8,G13,G20,G21,G27,G29,G31)</f>
        <v>2857.2790546557239</v>
      </c>
      <c r="R8" s="71">
        <f>SUM(H8,H13,H20,H21,H27,H29,H31)</f>
        <v>2809.9112337018046</v>
      </c>
    </row>
    <row r="9" spans="3:19" ht="20.100000000000001" customHeight="1">
      <c r="C9" s="118" t="s">
        <v>18</v>
      </c>
      <c r="D9" s="218">
        <v>131.98656270000001</v>
      </c>
      <c r="E9" s="279">
        <v>117.98490664059263</v>
      </c>
      <c r="F9" s="362">
        <f t="shared" ref="F9:F32" si="1">+E9/D9-1</f>
        <v>-0.10608395107032653</v>
      </c>
      <c r="G9" s="234">
        <v>1803.9113739999998</v>
      </c>
      <c r="H9" s="279">
        <v>1765.0718658450401</v>
      </c>
      <c r="I9" s="363">
        <f t="shared" ref="I9:I32" si="2">+H9/G9-1</f>
        <v>-2.1530718590036302E-2</v>
      </c>
      <c r="J9" s="26"/>
      <c r="K9" s="46"/>
      <c r="L9" s="46"/>
      <c r="N9" s="57" t="s">
        <v>9</v>
      </c>
      <c r="O9" s="311">
        <f>SUM(D9,D14,D16,D17,D19,D22,D26,D32)</f>
        <v>3879.960477074796</v>
      </c>
      <c r="P9" s="311">
        <f>SUM(E9,E14,E16,E17,E19,E22,E26,E32)</f>
        <v>3858.6281886791107</v>
      </c>
      <c r="Q9" s="311">
        <f>SUM(G9,G14,G16,G17,G19,G22,G26,G32)</f>
        <v>38061.157644604005</v>
      </c>
      <c r="R9" s="311">
        <f>SUM(H9,H14,H16,H17,H19,H22,H26,H32)</f>
        <v>34295.925716408761</v>
      </c>
    </row>
    <row r="10" spans="3:19" ht="20.100000000000001" customHeight="1">
      <c r="C10" s="119" t="s">
        <v>19</v>
      </c>
      <c r="D10" s="218">
        <v>2.6568420030461675</v>
      </c>
      <c r="E10" s="279">
        <v>3.1553934996763022</v>
      </c>
      <c r="F10" s="362">
        <f t="shared" si="1"/>
        <v>0.18764815373233601</v>
      </c>
      <c r="G10" s="234">
        <v>35.775419559908407</v>
      </c>
      <c r="H10" s="279">
        <v>39.584934674825874</v>
      </c>
      <c r="I10" s="362">
        <f t="shared" si="2"/>
        <v>0.10648414922257365</v>
      </c>
      <c r="J10" s="26"/>
      <c r="K10" s="46"/>
      <c r="L10" s="46"/>
      <c r="N10" s="54" t="s">
        <v>12</v>
      </c>
      <c r="O10" s="311">
        <f>SUM(D10,D11,D12,D15,D18,D24,D25,D28,D30)</f>
        <v>569.25268054896594</v>
      </c>
      <c r="P10" s="311">
        <f t="shared" ref="P10" si="3">SUM(E10,E11,E12,E15,E18,E24,E25,E28,E30)</f>
        <v>542.56543689778789</v>
      </c>
      <c r="Q10" s="311">
        <f>SUM(G10,G11,G12,G15,G18,G24,G25,G28,G30)</f>
        <v>5643.9878539086285</v>
      </c>
      <c r="R10" s="311">
        <f>SUM(H10,H11,H12,H15,H18,H24,H25,H28,H30)</f>
        <v>5614.676630938674</v>
      </c>
    </row>
    <row r="11" spans="3:19" ht="20.100000000000001" customHeight="1">
      <c r="C11" s="118" t="s">
        <v>20</v>
      </c>
      <c r="D11" s="218">
        <v>99.529124627927445</v>
      </c>
      <c r="E11" s="279">
        <v>103.47125354897686</v>
      </c>
      <c r="F11" s="363">
        <f t="shared" si="1"/>
        <v>3.9607792551038523E-2</v>
      </c>
      <c r="G11" s="234">
        <v>1001.3190198612559</v>
      </c>
      <c r="H11" s="279">
        <v>1060.2517115155999</v>
      </c>
      <c r="I11" s="362">
        <f t="shared" si="2"/>
        <v>5.8855060660397474E-2</v>
      </c>
      <c r="J11" s="26"/>
      <c r="K11" s="46"/>
      <c r="L11" s="46"/>
      <c r="N11" s="312" t="s">
        <v>11</v>
      </c>
      <c r="O11" s="71">
        <f>D23</f>
        <v>76.676682733333351</v>
      </c>
      <c r="P11" s="71">
        <f t="shared" ref="P11" si="4">E23</f>
        <v>33.73819225312085</v>
      </c>
      <c r="Q11" s="71">
        <f>G23</f>
        <v>699.36151333333316</v>
      </c>
      <c r="R11" s="71">
        <f>H23</f>
        <v>431.40274578035007</v>
      </c>
    </row>
    <row r="12" spans="3:19" ht="20.100000000000001" customHeight="1">
      <c r="C12" s="118" t="s">
        <v>21</v>
      </c>
      <c r="D12" s="331">
        <v>0.88750692132580911</v>
      </c>
      <c r="E12" s="306">
        <v>0.96541776213465991</v>
      </c>
      <c r="F12" s="362">
        <f t="shared" si="1"/>
        <v>8.7786178267165615E-2</v>
      </c>
      <c r="G12" s="234">
        <v>7.7163824857969114</v>
      </c>
      <c r="H12" s="279">
        <v>9.4842184957468536</v>
      </c>
      <c r="I12" s="362">
        <f t="shared" si="2"/>
        <v>0.22910165653450876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18">
        <v>69.21420418639542</v>
      </c>
      <c r="E13" s="279">
        <v>42.873175686614061</v>
      </c>
      <c r="F13" s="362">
        <f t="shared" si="1"/>
        <v>-0.3805725834663124</v>
      </c>
      <c r="G13" s="234">
        <v>910.97974240154417</v>
      </c>
      <c r="H13" s="279">
        <v>877.0503784821027</v>
      </c>
      <c r="I13" s="362">
        <f t="shared" si="2"/>
        <v>-3.7244915929739775E-2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18">
        <v>314.92016346531074</v>
      </c>
      <c r="E14" s="279">
        <v>297.72955998781083</v>
      </c>
      <c r="F14" s="362">
        <f t="shared" si="1"/>
        <v>-5.4587179456337065E-2</v>
      </c>
      <c r="G14" s="234">
        <v>2830.7460480506079</v>
      </c>
      <c r="H14" s="279">
        <v>2108.2178590406083</v>
      </c>
      <c r="I14" s="362">
        <f t="shared" si="2"/>
        <v>-0.25524302665990417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18">
        <v>147.72144106666661</v>
      </c>
      <c r="E15" s="279">
        <v>160.18374027033335</v>
      </c>
      <c r="F15" s="362">
        <f t="shared" si="1"/>
        <v>8.4363509546610205E-2</v>
      </c>
      <c r="G15" s="234">
        <v>1695.1245996666667</v>
      </c>
      <c r="H15" s="279">
        <v>1593.4702612733336</v>
      </c>
      <c r="I15" s="363">
        <f t="shared" si="2"/>
        <v>-5.9968652695691294E-2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18">
        <v>770.2967511194712</v>
      </c>
      <c r="E16" s="279">
        <v>800.04304129314539</v>
      </c>
      <c r="F16" s="363">
        <f t="shared" si="1"/>
        <v>3.861666316318213E-2</v>
      </c>
      <c r="G16" s="234">
        <v>8473.5604362858303</v>
      </c>
      <c r="H16" s="279">
        <v>8625.9532584446806</v>
      </c>
      <c r="I16" s="363">
        <f t="shared" si="2"/>
        <v>1.7984508791164977E-2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18">
        <v>125.17516713333333</v>
      </c>
      <c r="E17" s="279">
        <v>97.879807732666691</v>
      </c>
      <c r="F17" s="362">
        <f t="shared" si="1"/>
        <v>-0.21805730342338858</v>
      </c>
      <c r="G17" s="234">
        <v>1955.3138103333335</v>
      </c>
      <c r="H17" s="279">
        <v>1867.9279188256669</v>
      </c>
      <c r="I17" s="363">
        <f t="shared" si="2"/>
        <v>-4.4691491997782995E-2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18">
        <v>147.26741306666665</v>
      </c>
      <c r="E18" s="279">
        <v>107.38434406916669</v>
      </c>
      <c r="F18" s="362">
        <f t="shared" si="1"/>
        <v>-0.27082073465529843</v>
      </c>
      <c r="G18" s="234">
        <v>1414.9063046666668</v>
      </c>
      <c r="H18" s="279">
        <v>1318.8950666041667</v>
      </c>
      <c r="I18" s="362">
        <f t="shared" si="2"/>
        <v>-6.7856958263479483E-2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18">
        <v>218.83488346666664</v>
      </c>
      <c r="E19" s="279">
        <v>185.31515673666664</v>
      </c>
      <c r="F19" s="362">
        <f t="shared" si="1"/>
        <v>-0.15317359919496465</v>
      </c>
      <c r="G19" s="234">
        <v>2371.2199096666664</v>
      </c>
      <c r="H19" s="279">
        <v>2380.3691495016669</v>
      </c>
      <c r="I19" s="363">
        <f t="shared" si="2"/>
        <v>3.8584526882985415E-3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18">
        <v>73.854083002328537</v>
      </c>
      <c r="E20" s="279">
        <v>118.71908132179705</v>
      </c>
      <c r="F20" s="363">
        <f t="shared" si="1"/>
        <v>0.60748162451700827</v>
      </c>
      <c r="G20" s="234">
        <v>606.42980935412629</v>
      </c>
      <c r="H20" s="279">
        <v>696.61963731340597</v>
      </c>
      <c r="I20" s="362">
        <f t="shared" si="2"/>
        <v>0.14872261648109886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31">
        <v>8.1027022666666682</v>
      </c>
      <c r="E21" s="306">
        <v>6.1588983697699611</v>
      </c>
      <c r="F21" s="362">
        <f t="shared" si="1"/>
        <v>-0.23989575735655888</v>
      </c>
      <c r="G21" s="234">
        <v>53.807432416666671</v>
      </c>
      <c r="H21" s="279">
        <v>50.54841934726997</v>
      </c>
      <c r="I21" s="362">
        <f t="shared" si="2"/>
        <v>-6.0568083683309792E-2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18">
        <v>2199.4044468566808</v>
      </c>
      <c r="E22" s="279">
        <v>2290.1744845948956</v>
      </c>
      <c r="F22" s="362">
        <f t="shared" si="1"/>
        <v>4.1270280174226404E-2</v>
      </c>
      <c r="G22" s="234">
        <v>19512.508123592859</v>
      </c>
      <c r="H22" s="279">
        <v>16742.57477860276</v>
      </c>
      <c r="I22" s="362">
        <f t="shared" si="2"/>
        <v>-0.14195680675417277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18">
        <v>76.676682733333351</v>
      </c>
      <c r="E23" s="279">
        <v>33.73819225312085</v>
      </c>
      <c r="F23" s="362">
        <f t="shared" si="1"/>
        <v>-0.55999410706830199</v>
      </c>
      <c r="G23" s="234">
        <v>699.36151333333316</v>
      </c>
      <c r="H23" s="279">
        <v>431.40274578035007</v>
      </c>
      <c r="I23" s="362">
        <f t="shared" si="2"/>
        <v>-0.38314771751711663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31">
        <v>0.41696700000000003</v>
      </c>
      <c r="E24" s="306">
        <v>0.50472027750000004</v>
      </c>
      <c r="F24" s="362">
        <f t="shared" si="1"/>
        <v>0.21045616919324561</v>
      </c>
      <c r="G24" s="234">
        <v>1.7090920000000003</v>
      </c>
      <c r="H24" s="279">
        <v>5.4654856899999995</v>
      </c>
      <c r="I24" s="363">
        <f t="shared" si="2"/>
        <v>2.1978885220924318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18">
        <v>77.856159333333338</v>
      </c>
      <c r="E25" s="279">
        <v>83.734102087500005</v>
      </c>
      <c r="F25" s="363">
        <f t="shared" si="1"/>
        <v>7.5497466154230031E-2</v>
      </c>
      <c r="G25" s="234">
        <v>572.19275833333336</v>
      </c>
      <c r="H25" s="279">
        <v>569.55255422250002</v>
      </c>
      <c r="I25" s="362">
        <f t="shared" si="2"/>
        <v>-4.6141865173611185E-3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18">
        <v>67.556288999999992</v>
      </c>
      <c r="E26" s="279">
        <v>55.35472941999997</v>
      </c>
      <c r="F26" s="362">
        <f t="shared" si="1"/>
        <v>-0.18061323025011078</v>
      </c>
      <c r="G26" s="234">
        <v>789.62388434137495</v>
      </c>
      <c r="H26" s="279">
        <v>759.62671160000002</v>
      </c>
      <c r="I26" s="362">
        <f t="shared" si="2"/>
        <v>-3.7989191229183206E-2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18">
        <v>123.97324094833866</v>
      </c>
      <c r="E27" s="279">
        <v>135.30998759671894</v>
      </c>
      <c r="F27" s="363">
        <f t="shared" si="1"/>
        <v>9.1445109941946656E-2</v>
      </c>
      <c r="G27" s="234">
        <v>1187.466209483387</v>
      </c>
      <c r="H27" s="279">
        <v>1105.4020573853306</v>
      </c>
      <c r="I27" s="362">
        <f t="shared" si="2"/>
        <v>-6.9108620896049633E-2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18">
        <v>79.85142952999999</v>
      </c>
      <c r="E28" s="279">
        <v>69.237376784999995</v>
      </c>
      <c r="F28" s="362">
        <f t="shared" si="1"/>
        <v>-0.13292251381689191</v>
      </c>
      <c r="G28" s="234">
        <v>789.84804833500004</v>
      </c>
      <c r="H28" s="279">
        <v>888.04875966999998</v>
      </c>
      <c r="I28" s="362">
        <f t="shared" si="2"/>
        <v>0.12432861173995047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18">
        <v>3.0407630000000001</v>
      </c>
      <c r="E29" s="279">
        <v>2.5962080000000003</v>
      </c>
      <c r="F29" s="362">
        <f t="shared" si="1"/>
        <v>-0.14619850346771512</v>
      </c>
      <c r="G29" s="234">
        <v>40.31165</v>
      </c>
      <c r="H29" s="279">
        <v>38.197933000000006</v>
      </c>
      <c r="I29" s="363">
        <f t="shared" si="2"/>
        <v>-5.2434395515936316E-2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18">
        <v>13.065797</v>
      </c>
      <c r="E30" s="279">
        <v>13.929088597500002</v>
      </c>
      <c r="F30" s="362">
        <f t="shared" si="1"/>
        <v>6.6072632040739876E-2</v>
      </c>
      <c r="G30" s="234">
        <v>125.39622900000001</v>
      </c>
      <c r="H30" s="279">
        <v>129.92363879250001</v>
      </c>
      <c r="I30" s="362">
        <f t="shared" si="2"/>
        <v>3.6104832087893168E-2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18">
        <v>1.1561360000000003</v>
      </c>
      <c r="E31" s="279">
        <v>1.1005480000000003</v>
      </c>
      <c r="F31" s="363">
        <f>+E31/D31-1</f>
        <v>-4.8080848619885486E-2</v>
      </c>
      <c r="G31" s="330">
        <v>11.287950000000004</v>
      </c>
      <c r="H31" s="306">
        <v>11.005480000000006</v>
      </c>
      <c r="I31" s="362">
        <f t="shared" si="2"/>
        <v>-2.5024030049743184E-2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1">
        <v>51.786213333333343</v>
      </c>
      <c r="E32" s="280">
        <v>14.146502273333333</v>
      </c>
      <c r="F32" s="364">
        <f t="shared" si="1"/>
        <v>-0.72682879548894097</v>
      </c>
      <c r="G32" s="235">
        <v>324.2740583333333</v>
      </c>
      <c r="H32" s="280">
        <v>46.184174548333345</v>
      </c>
      <c r="I32" s="364">
        <f t="shared" si="2"/>
        <v>-0.85757672141365404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18" t="s">
        <v>106</v>
      </c>
      <c r="D33" s="111">
        <f>SUM(D8:D32)</f>
        <v>4808.8455447608258</v>
      </c>
      <c r="E33" s="281">
        <f>SUM(E8:E32)</f>
        <v>4744.8743901159623</v>
      </c>
      <c r="F33" s="116">
        <f>+E33/D33-1</f>
        <v>-1.3302809177258568E-2</v>
      </c>
      <c r="G33" s="236">
        <f>SUM(G8:G32)</f>
        <v>47261.786066501678</v>
      </c>
      <c r="H33" s="281">
        <f>SUM(H8:H32)</f>
        <v>43151.916326829589</v>
      </c>
      <c r="I33" s="237">
        <f>+H33/G33-1</f>
        <v>-8.6959678880716096E-2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32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2290.1744845948956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800.04304129314539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297.72955998781083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185.31515673666664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160.18374027033335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135.30998759671894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28</v>
      </c>
      <c r="O50" s="52">
        <v>118.71908132179705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18</v>
      </c>
      <c r="O51" s="53">
        <v>117.98490664059263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26</v>
      </c>
      <c r="O52" s="53">
        <v>107.38434406916669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103.47125354897686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25</v>
      </c>
      <c r="O54" s="53">
        <v>97.879807732666691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33</v>
      </c>
      <c r="O55" s="52">
        <v>83.734102087500005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69.237376784999995</v>
      </c>
      <c r="P56" s="8"/>
      <c r="S56" s="91"/>
    </row>
    <row r="57" spans="3:19">
      <c r="N57" s="51" t="s">
        <v>34</v>
      </c>
      <c r="O57" s="52">
        <v>55.35472941999997</v>
      </c>
      <c r="S57" s="91"/>
    </row>
    <row r="58" spans="3:19">
      <c r="N58" s="51" t="s">
        <v>22</v>
      </c>
      <c r="O58" s="52">
        <v>42.873175686614061</v>
      </c>
      <c r="S58" s="91"/>
    </row>
    <row r="59" spans="3:19">
      <c r="N59" s="51" t="s">
        <v>31</v>
      </c>
      <c r="O59" s="52">
        <v>33.73819225312085</v>
      </c>
      <c r="S59" s="91"/>
    </row>
    <row r="60" spans="3:19">
      <c r="N60" s="51" t="s">
        <v>40</v>
      </c>
      <c r="O60" s="52">
        <v>14.146502273333333</v>
      </c>
      <c r="S60" s="91"/>
    </row>
    <row r="61" spans="3:19">
      <c r="N61" s="51" t="s">
        <v>38</v>
      </c>
      <c r="O61" s="52">
        <v>13.929088597500002</v>
      </c>
      <c r="S61" s="91"/>
    </row>
    <row r="62" spans="3:19">
      <c r="N62" s="51" t="s">
        <v>29</v>
      </c>
      <c r="O62" s="52">
        <v>6.1588983697699611</v>
      </c>
      <c r="S62" s="91"/>
    </row>
    <row r="63" spans="3:19">
      <c r="N63" s="50" t="s">
        <v>17</v>
      </c>
      <c r="O63" s="53">
        <v>3.1846733110401919</v>
      </c>
      <c r="S63" s="91"/>
    </row>
    <row r="64" spans="3:19">
      <c r="N64" s="50" t="s">
        <v>19</v>
      </c>
      <c r="O64" s="53">
        <v>3.1553934996763022</v>
      </c>
      <c r="S64" s="91"/>
    </row>
    <row r="65" spans="6:19">
      <c r="N65" s="50" t="s">
        <v>37</v>
      </c>
      <c r="O65" s="53">
        <v>2.5962080000000003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0.96541776213465991</v>
      </c>
      <c r="S67" s="91"/>
    </row>
    <row r="68" spans="6:19">
      <c r="N68" s="9" t="s">
        <v>32</v>
      </c>
      <c r="O68" s="52">
        <v>0.50472027750000004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2020-11-12T04:01:36Z</dcterms:modified>
</cp:coreProperties>
</file>